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ORS_report" sheetId="1" r:id="rId1"/>
    <sheet name="recom" sheetId="2" r:id="rId2"/>
    <sheet name="Block1" sheetId="3" state="hidden" r:id="rId3"/>
    <sheet name="Block1_charts" sheetId="4" r:id="rId4"/>
    <sheet name="Block2" sheetId="5" state="hidden" r:id="rId5"/>
    <sheet name="Block2_charts" sheetId="6" r:id="rId6"/>
    <sheet name="Data" sheetId="7" state="hidden" r:id="rId7"/>
    <sheet name="Block3" sheetId="8" state="hidden" r:id="rId8"/>
    <sheet name="srv" sheetId="9" state="hidden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2" i="8" l="1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2" i="8"/>
  <c r="G52" i="8" s="1"/>
  <c r="G51" i="8"/>
  <c r="F51" i="8"/>
  <c r="F50" i="8"/>
  <c r="G50" i="8" s="1"/>
  <c r="G49" i="8"/>
  <c r="F49" i="8"/>
  <c r="F48" i="8"/>
  <c r="G48" i="8" s="1"/>
  <c r="G47" i="8"/>
  <c r="F47" i="8"/>
  <c r="F53" i="8" s="1"/>
  <c r="B42" i="8"/>
  <c r="C42" i="8" s="1"/>
  <c r="C41" i="8"/>
  <c r="B41" i="8"/>
  <c r="B40" i="8"/>
  <c r="C40" i="8" s="1"/>
  <c r="C35" i="8"/>
  <c r="B35" i="8"/>
  <c r="B34" i="8"/>
  <c r="C34" i="8" s="1"/>
  <c r="C33" i="8"/>
  <c r="B33" i="8"/>
  <c r="B28" i="8"/>
  <c r="C28" i="8" s="1"/>
  <c r="C27" i="8"/>
  <c r="B27" i="8"/>
  <c r="B26" i="8"/>
  <c r="C26" i="8" s="1"/>
  <c r="C25" i="8"/>
  <c r="B25" i="8"/>
  <c r="B24" i="8"/>
  <c r="C24" i="8" s="1"/>
  <c r="C23" i="8"/>
  <c r="B23" i="8"/>
  <c r="B22" i="8"/>
  <c r="C22" i="8" s="1"/>
  <c r="C17" i="8"/>
  <c r="B17" i="8"/>
  <c r="B16" i="8"/>
  <c r="C16" i="8" s="1"/>
  <c r="C15" i="8"/>
  <c r="B15" i="8"/>
  <c r="B14" i="8"/>
  <c r="C14" i="8" s="1"/>
  <c r="C9" i="8"/>
  <c r="B9" i="8"/>
  <c r="B8" i="8"/>
  <c r="C8" i="8" s="1"/>
  <c r="C7" i="8"/>
  <c r="B7" i="8"/>
  <c r="CA33" i="7"/>
  <c r="CA32" i="7"/>
  <c r="CA31" i="7"/>
  <c r="CA30" i="7"/>
  <c r="CA29" i="7"/>
  <c r="CA28" i="7"/>
  <c r="CA27" i="7"/>
  <c r="CA26" i="7"/>
  <c r="CA25" i="7"/>
  <c r="CA24" i="7"/>
  <c r="CA23" i="7"/>
  <c r="CA22" i="7"/>
  <c r="CA21" i="7"/>
  <c r="CA20" i="7"/>
  <c r="CA19" i="7"/>
  <c r="CA18" i="7"/>
  <c r="CA17" i="7"/>
  <c r="CA16" i="7"/>
  <c r="CA15" i="7"/>
  <c r="CA14" i="7"/>
  <c r="CA13" i="7"/>
  <c r="CA12" i="7"/>
  <c r="CA11" i="7"/>
  <c r="CA10" i="7"/>
  <c r="CA9" i="7"/>
  <c r="CA8" i="7"/>
  <c r="CA7" i="7"/>
  <c r="CA6" i="7"/>
  <c r="CA5" i="7"/>
  <c r="CA4" i="7"/>
  <c r="CA3" i="7"/>
  <c r="B98" i="5"/>
  <c r="B97" i="5"/>
  <c r="B96" i="5"/>
  <c r="G92" i="5"/>
  <c r="F92" i="5"/>
  <c r="E92" i="5"/>
  <c r="D92" i="5"/>
  <c r="C92" i="5"/>
  <c r="B92" i="5"/>
  <c r="H92" i="5" s="1"/>
  <c r="G91" i="5"/>
  <c r="F91" i="5"/>
  <c r="E91" i="5"/>
  <c r="D91" i="5"/>
  <c r="H91" i="5" s="1"/>
  <c r="H93" i="5" s="1"/>
  <c r="C91" i="5"/>
  <c r="B91" i="5"/>
  <c r="D88" i="5"/>
  <c r="C88" i="5"/>
  <c r="B88" i="5"/>
  <c r="D87" i="5"/>
  <c r="C87" i="5"/>
  <c r="B87" i="5"/>
  <c r="D86" i="5"/>
  <c r="C86" i="5"/>
  <c r="B86" i="5"/>
  <c r="D85" i="5"/>
  <c r="C85" i="5"/>
  <c r="B85" i="5"/>
  <c r="G78" i="5"/>
  <c r="F78" i="5"/>
  <c r="E78" i="5"/>
  <c r="D78" i="5"/>
  <c r="H78" i="5" s="1"/>
  <c r="C78" i="5"/>
  <c r="B78" i="5"/>
  <c r="G77" i="5"/>
  <c r="F77" i="5"/>
  <c r="E77" i="5"/>
  <c r="D77" i="5"/>
  <c r="H77" i="5" s="1"/>
  <c r="C77" i="5"/>
  <c r="B77" i="5"/>
  <c r="G76" i="5"/>
  <c r="F76" i="5"/>
  <c r="E76" i="5"/>
  <c r="D76" i="5"/>
  <c r="C76" i="5"/>
  <c r="B76" i="5"/>
  <c r="H76" i="5" s="1"/>
  <c r="G75" i="5"/>
  <c r="F75" i="5"/>
  <c r="E75" i="5"/>
  <c r="D75" i="5"/>
  <c r="C75" i="5"/>
  <c r="B75" i="5"/>
  <c r="H75" i="5" s="1"/>
  <c r="G74" i="5"/>
  <c r="F74" i="5"/>
  <c r="E74" i="5"/>
  <c r="D74" i="5"/>
  <c r="H74" i="5" s="1"/>
  <c r="C74" i="5"/>
  <c r="B74" i="5"/>
  <c r="G66" i="5"/>
  <c r="F66" i="5"/>
  <c r="E66" i="5"/>
  <c r="D66" i="5"/>
  <c r="H66" i="5" s="1"/>
  <c r="C66" i="5"/>
  <c r="B66" i="5"/>
  <c r="G65" i="5"/>
  <c r="F65" i="5"/>
  <c r="E65" i="5"/>
  <c r="D65" i="5"/>
  <c r="H65" i="5" s="1"/>
  <c r="C65" i="5"/>
  <c r="B65" i="5"/>
  <c r="G64" i="5"/>
  <c r="F64" i="5"/>
  <c r="E64" i="5"/>
  <c r="D64" i="5"/>
  <c r="C64" i="5"/>
  <c r="B64" i="5"/>
  <c r="H64" i="5" s="1"/>
  <c r="G63" i="5"/>
  <c r="F63" i="5"/>
  <c r="E63" i="5"/>
  <c r="D63" i="5"/>
  <c r="C63" i="5"/>
  <c r="B63" i="5"/>
  <c r="H63" i="5" s="1"/>
  <c r="H67" i="5" s="1"/>
  <c r="G56" i="5"/>
  <c r="F56" i="5"/>
  <c r="E56" i="5"/>
  <c r="D56" i="5"/>
  <c r="C56" i="5"/>
  <c r="B56" i="5"/>
  <c r="H56" i="5" s="1"/>
  <c r="B47" i="9" s="1"/>
  <c r="G55" i="5"/>
  <c r="F55" i="5"/>
  <c r="E55" i="5"/>
  <c r="D55" i="5"/>
  <c r="H55" i="5" s="1"/>
  <c r="B46" i="9" s="1"/>
  <c r="C55" i="5"/>
  <c r="B55" i="5"/>
  <c r="G54" i="5"/>
  <c r="F54" i="5"/>
  <c r="E54" i="5"/>
  <c r="D54" i="5"/>
  <c r="H54" i="5" s="1"/>
  <c r="B45" i="9" s="1"/>
  <c r="C54" i="5"/>
  <c r="B54" i="5"/>
  <c r="G52" i="5"/>
  <c r="F52" i="5"/>
  <c r="E52" i="5"/>
  <c r="D52" i="5"/>
  <c r="C52" i="5"/>
  <c r="B52" i="5"/>
  <c r="H52" i="5" s="1"/>
  <c r="B44" i="9" s="1"/>
  <c r="G51" i="5"/>
  <c r="F51" i="5"/>
  <c r="E51" i="5"/>
  <c r="D51" i="5"/>
  <c r="C51" i="5"/>
  <c r="B51" i="5"/>
  <c r="H51" i="5" s="1"/>
  <c r="G44" i="5"/>
  <c r="F44" i="5"/>
  <c r="E44" i="5"/>
  <c r="D44" i="5"/>
  <c r="C44" i="5"/>
  <c r="B44" i="5"/>
  <c r="H44" i="5" s="1"/>
  <c r="B40" i="9" s="1"/>
  <c r="G43" i="5"/>
  <c r="E43" i="5"/>
  <c r="G42" i="5"/>
  <c r="F42" i="5"/>
  <c r="E42" i="5"/>
  <c r="D42" i="5"/>
  <c r="C42" i="5"/>
  <c r="B42" i="5"/>
  <c r="H42" i="5" s="1"/>
  <c r="B39" i="9" s="1"/>
  <c r="G41" i="5"/>
  <c r="F41" i="5"/>
  <c r="E41" i="5"/>
  <c r="D41" i="5"/>
  <c r="C41" i="5"/>
  <c r="B41" i="5"/>
  <c r="H41" i="5" s="1"/>
  <c r="B38" i="9" s="1"/>
  <c r="G40" i="5"/>
  <c r="F40" i="5"/>
  <c r="E40" i="5"/>
  <c r="D40" i="5"/>
  <c r="H40" i="5" s="1"/>
  <c r="B37" i="9" s="1"/>
  <c r="C40" i="5"/>
  <c r="B40" i="5"/>
  <c r="G39" i="5"/>
  <c r="F39" i="5"/>
  <c r="E39" i="5"/>
  <c r="D39" i="5"/>
  <c r="H39" i="5" s="1"/>
  <c r="B36" i="9" s="1"/>
  <c r="C39" i="5"/>
  <c r="B39" i="5"/>
  <c r="G38" i="5"/>
  <c r="F38" i="5"/>
  <c r="E38" i="5"/>
  <c r="D38" i="5"/>
  <c r="C38" i="5"/>
  <c r="B38" i="5"/>
  <c r="H38" i="5" s="1"/>
  <c r="B35" i="9" s="1"/>
  <c r="G36" i="5"/>
  <c r="F36" i="5"/>
  <c r="E36" i="5"/>
  <c r="D36" i="5"/>
  <c r="C36" i="5"/>
  <c r="B36" i="5"/>
  <c r="H36" i="5" s="1"/>
  <c r="G29" i="5"/>
  <c r="F29" i="5"/>
  <c r="E29" i="5"/>
  <c r="D29" i="5"/>
  <c r="C29" i="5"/>
  <c r="B29" i="5"/>
  <c r="H29" i="5" s="1"/>
  <c r="B32" i="9" s="1"/>
  <c r="G28" i="5"/>
  <c r="F28" i="5"/>
  <c r="E28" i="5"/>
  <c r="D28" i="5"/>
  <c r="H28" i="5" s="1"/>
  <c r="B31" i="9" s="1"/>
  <c r="C28" i="5"/>
  <c r="B28" i="5"/>
  <c r="G27" i="5"/>
  <c r="F27" i="5"/>
  <c r="E27" i="5"/>
  <c r="D27" i="5"/>
  <c r="H27" i="5" s="1"/>
  <c r="B30" i="9" s="1"/>
  <c r="C27" i="5"/>
  <c r="B27" i="5"/>
  <c r="G26" i="5"/>
  <c r="F26" i="5"/>
  <c r="E26" i="5"/>
  <c r="D26" i="5"/>
  <c r="C26" i="5"/>
  <c r="B26" i="5"/>
  <c r="H26" i="5" s="1"/>
  <c r="G16" i="5"/>
  <c r="F16" i="5"/>
  <c r="E16" i="5"/>
  <c r="D16" i="5"/>
  <c r="C16" i="5"/>
  <c r="B16" i="5"/>
  <c r="H16" i="5" s="1"/>
  <c r="B27" i="9" s="1"/>
  <c r="G15" i="5"/>
  <c r="F15" i="5"/>
  <c r="E15" i="5"/>
  <c r="D15" i="5"/>
  <c r="C15" i="5"/>
  <c r="B15" i="5"/>
  <c r="H15" i="5" s="1"/>
  <c r="B26" i="9" s="1"/>
  <c r="G14" i="5"/>
  <c r="F14" i="5"/>
  <c r="E14" i="5"/>
  <c r="D14" i="5"/>
  <c r="H14" i="5" s="1"/>
  <c r="B25" i="9" s="1"/>
  <c r="C14" i="5"/>
  <c r="B14" i="5"/>
  <c r="G13" i="5"/>
  <c r="F13" i="5"/>
  <c r="E13" i="5"/>
  <c r="D13" i="5"/>
  <c r="H13" i="5" s="1"/>
  <c r="B24" i="9" s="1"/>
  <c r="C13" i="5"/>
  <c r="B13" i="5"/>
  <c r="G12" i="5"/>
  <c r="F12" i="5"/>
  <c r="E12" i="5"/>
  <c r="D12" i="5"/>
  <c r="C12" i="5"/>
  <c r="B12" i="5"/>
  <c r="H12" i="5" s="1"/>
  <c r="B23" i="9" s="1"/>
  <c r="G11" i="5"/>
  <c r="F11" i="5"/>
  <c r="E11" i="5"/>
  <c r="D11" i="5"/>
  <c r="C11" i="5"/>
  <c r="B11" i="5"/>
  <c r="H11" i="5" s="1"/>
  <c r="B22" i="9" s="1"/>
  <c r="G10" i="5"/>
  <c r="F10" i="5"/>
  <c r="E10" i="5"/>
  <c r="D10" i="5"/>
  <c r="H10" i="5" s="1"/>
  <c r="B21" i="9" s="1"/>
  <c r="C10" i="5"/>
  <c r="B10" i="5"/>
  <c r="G9" i="5"/>
  <c r="F9" i="5"/>
  <c r="E9" i="5"/>
  <c r="D9" i="5"/>
  <c r="H9" i="5" s="1"/>
  <c r="B20" i="9" s="1"/>
  <c r="C9" i="5"/>
  <c r="B9" i="5"/>
  <c r="G8" i="5"/>
  <c r="F8" i="5"/>
  <c r="E8" i="5"/>
  <c r="D8" i="5"/>
  <c r="C8" i="5"/>
  <c r="B8" i="5"/>
  <c r="H8" i="5" s="1"/>
  <c r="F88" i="3"/>
  <c r="F15" i="9" s="1"/>
  <c r="F87" i="3"/>
  <c r="F14" i="9" s="1"/>
  <c r="F86" i="3"/>
  <c r="F13" i="9" s="1"/>
  <c r="F85" i="3"/>
  <c r="F12" i="9" s="1"/>
  <c r="F84" i="3"/>
  <c r="F11" i="9" s="1"/>
  <c r="F83" i="3"/>
  <c r="F10" i="9" s="1"/>
  <c r="F82" i="3"/>
  <c r="F9" i="9" s="1"/>
  <c r="F81" i="3"/>
  <c r="F8" i="9" s="1"/>
  <c r="F80" i="3"/>
  <c r="F7" i="9" s="1"/>
  <c r="F79" i="3"/>
  <c r="F6" i="9" s="1"/>
  <c r="F78" i="3"/>
  <c r="F5" i="9" s="1"/>
  <c r="F77" i="3"/>
  <c r="F4" i="9" s="1"/>
  <c r="F76" i="3"/>
  <c r="F3" i="9" s="1"/>
  <c r="F75" i="3"/>
  <c r="F2" i="9" s="1"/>
  <c r="F74" i="3"/>
  <c r="F1" i="9" s="1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G59" i="3"/>
  <c r="F59" i="3"/>
  <c r="F58" i="3"/>
  <c r="G58" i="3" s="1"/>
  <c r="G57" i="3"/>
  <c r="F57" i="3"/>
  <c r="F56" i="3"/>
  <c r="G56" i="3" s="1"/>
  <c r="G55" i="3"/>
  <c r="F55" i="3"/>
  <c r="F54" i="3"/>
  <c r="G54" i="3" s="1"/>
  <c r="G51" i="3"/>
  <c r="F51" i="3"/>
  <c r="F50" i="3"/>
  <c r="G50" i="3" s="1"/>
  <c r="G49" i="3"/>
  <c r="F49" i="3"/>
  <c r="F48" i="3"/>
  <c r="G48" i="3" s="1"/>
  <c r="G45" i="3"/>
  <c r="F45" i="3"/>
  <c r="F44" i="3"/>
  <c r="G44" i="3" s="1"/>
  <c r="G43" i="3"/>
  <c r="F43" i="3"/>
  <c r="F42" i="3"/>
  <c r="G42" i="3" s="1"/>
  <c r="C39" i="3"/>
  <c r="B39" i="3"/>
  <c r="F38" i="3"/>
  <c r="G38" i="3" s="1"/>
  <c r="C38" i="3"/>
  <c r="B38" i="3"/>
  <c r="F37" i="3"/>
  <c r="G37" i="3" s="1"/>
  <c r="C37" i="3"/>
  <c r="B37" i="3"/>
  <c r="F36" i="3"/>
  <c r="G36" i="3" s="1"/>
  <c r="C36" i="3"/>
  <c r="B36" i="3"/>
  <c r="F35" i="3"/>
  <c r="G35" i="3" s="1"/>
  <c r="C35" i="3"/>
  <c r="B35" i="3"/>
  <c r="F32" i="3"/>
  <c r="G32" i="3" s="1"/>
  <c r="G31" i="3"/>
  <c r="F31" i="3"/>
  <c r="F30" i="3"/>
  <c r="G30" i="3" s="1"/>
  <c r="G29" i="3"/>
  <c r="F29" i="3"/>
  <c r="F26" i="3"/>
  <c r="G26" i="3" s="1"/>
  <c r="G25" i="3"/>
  <c r="F25" i="3"/>
  <c r="F24" i="3"/>
  <c r="G24" i="3" s="1"/>
  <c r="G23" i="3"/>
  <c r="F23" i="3"/>
  <c r="F22" i="3"/>
  <c r="G22" i="3" s="1"/>
  <c r="G21" i="3"/>
  <c r="F21" i="3"/>
  <c r="B18" i="3"/>
  <c r="C18" i="3" s="1"/>
  <c r="C17" i="3"/>
  <c r="B17" i="3"/>
  <c r="B14" i="3"/>
  <c r="C14" i="3" s="1"/>
  <c r="G13" i="3"/>
  <c r="F13" i="3"/>
  <c r="B13" i="3"/>
  <c r="C13" i="3" s="1"/>
  <c r="G12" i="3"/>
  <c r="F12" i="3"/>
  <c r="B12" i="3"/>
  <c r="C12" i="3" s="1"/>
  <c r="C9" i="3"/>
  <c r="B9" i="3"/>
  <c r="B8" i="3"/>
  <c r="C8" i="3" s="1"/>
  <c r="G7" i="3"/>
  <c r="F7" i="3"/>
  <c r="B7" i="3"/>
  <c r="C7" i="3" s="1"/>
  <c r="G6" i="3"/>
  <c r="F6" i="3"/>
  <c r="B6" i="3"/>
  <c r="C6" i="3" s="1"/>
  <c r="D204" i="1"/>
  <c r="D203" i="1"/>
  <c r="D202" i="1"/>
  <c r="D201" i="1"/>
  <c r="D205" i="1" s="1"/>
  <c r="D200" i="1"/>
  <c r="D199" i="1"/>
  <c r="D196" i="1"/>
  <c r="C196" i="1"/>
  <c r="C195" i="1"/>
  <c r="D195" i="1" s="1"/>
  <c r="D194" i="1"/>
  <c r="C194" i="1"/>
  <c r="C190" i="1"/>
  <c r="D190" i="1" s="1"/>
  <c r="D189" i="1"/>
  <c r="C189" i="1"/>
  <c r="C188" i="1"/>
  <c r="D188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4" i="1"/>
  <c r="D174" i="1" s="1"/>
  <c r="D173" i="1"/>
  <c r="C173" i="1"/>
  <c r="C172" i="1"/>
  <c r="D172" i="1" s="1"/>
  <c r="D171" i="1"/>
  <c r="C171" i="1"/>
  <c r="C167" i="1"/>
  <c r="D167" i="1" s="1"/>
  <c r="D166" i="1"/>
  <c r="C166" i="1"/>
  <c r="C165" i="1"/>
  <c r="D165" i="1" s="1"/>
  <c r="J156" i="1"/>
  <c r="J155" i="1"/>
  <c r="J153" i="1"/>
  <c r="J152" i="1"/>
  <c r="J151" i="1"/>
  <c r="H151" i="1"/>
  <c r="J150" i="1"/>
  <c r="H150" i="1"/>
  <c r="J149" i="1"/>
  <c r="H149" i="1"/>
  <c r="J148" i="1"/>
  <c r="J154" i="1" s="1"/>
  <c r="J142" i="1"/>
  <c r="J141" i="1"/>
  <c r="J140" i="1"/>
  <c r="J139" i="1"/>
  <c r="J143" i="1" s="1"/>
  <c r="J138" i="1"/>
  <c r="J132" i="1"/>
  <c r="J131" i="1"/>
  <c r="J130" i="1"/>
  <c r="J129" i="1"/>
  <c r="J123" i="1"/>
  <c r="J122" i="1"/>
  <c r="J121" i="1"/>
  <c r="J119" i="1"/>
  <c r="J118" i="1"/>
  <c r="J124" i="1" s="1"/>
  <c r="J112" i="1"/>
  <c r="J111" i="1"/>
  <c r="J110" i="1"/>
  <c r="J109" i="1"/>
  <c r="J108" i="1"/>
  <c r="J107" i="1"/>
  <c r="J106" i="1"/>
  <c r="J104" i="1"/>
  <c r="J113" i="1" s="1"/>
  <c r="J98" i="1"/>
  <c r="J97" i="1"/>
  <c r="J96" i="1"/>
  <c r="J95" i="1"/>
  <c r="J99" i="1" s="1"/>
  <c r="J87" i="1"/>
  <c r="J86" i="1"/>
  <c r="J85" i="1"/>
  <c r="J84" i="1"/>
  <c r="J83" i="1"/>
  <c r="J82" i="1"/>
  <c r="J81" i="1"/>
  <c r="J80" i="1"/>
  <c r="J79" i="1"/>
  <c r="J88" i="1" s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J59" i="1" s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J46" i="1" s="1"/>
  <c r="G46" i="1"/>
  <c r="F46" i="1"/>
  <c r="E46" i="1"/>
  <c r="D46" i="1"/>
  <c r="C46" i="1"/>
  <c r="I45" i="1"/>
  <c r="H45" i="1"/>
  <c r="J45" i="1" s="1"/>
  <c r="G45" i="1"/>
  <c r="F45" i="1"/>
  <c r="E45" i="1"/>
  <c r="D45" i="1"/>
  <c r="C45" i="1"/>
  <c r="D40" i="1"/>
  <c r="C40" i="1"/>
  <c r="D39" i="1"/>
  <c r="C39" i="1"/>
  <c r="D38" i="1"/>
  <c r="C38" i="1"/>
  <c r="D37" i="1"/>
  <c r="C37" i="1"/>
  <c r="D35" i="1"/>
  <c r="C35" i="1"/>
  <c r="D34" i="1"/>
  <c r="C34" i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4" i="1"/>
  <c r="C24" i="1"/>
  <c r="D23" i="1"/>
  <c r="C23" i="1"/>
  <c r="D22" i="1"/>
  <c r="C22" i="1"/>
  <c r="D20" i="1"/>
  <c r="C20" i="1"/>
  <c r="D19" i="1"/>
  <c r="C19" i="1"/>
  <c r="D18" i="1"/>
  <c r="C18" i="1"/>
  <c r="D17" i="1"/>
  <c r="C17" i="1"/>
  <c r="D16" i="1"/>
  <c r="C16" i="1"/>
  <c r="D15" i="1"/>
  <c r="C15" i="1"/>
  <c r="D13" i="1"/>
  <c r="C13" i="1"/>
  <c r="D12" i="1"/>
  <c r="C12" i="1"/>
  <c r="D10" i="1"/>
  <c r="C10" i="1"/>
  <c r="D9" i="1"/>
  <c r="C9" i="1"/>
  <c r="D7" i="1"/>
  <c r="C7" i="1"/>
  <c r="D6" i="1"/>
  <c r="C6" i="1"/>
  <c r="D5" i="1"/>
  <c r="C5" i="1"/>
  <c r="D4" i="1"/>
  <c r="C4" i="1"/>
  <c r="D2" i="1"/>
  <c r="A7" i="2"/>
  <c r="A3" i="2"/>
  <c r="A5" i="2"/>
  <c r="A4" i="2"/>
  <c r="A6" i="2"/>
  <c r="J63" i="1" l="1"/>
  <c r="J67" i="1"/>
  <c r="J71" i="1"/>
  <c r="B19" i="9"/>
  <c r="H17" i="5"/>
  <c r="J50" i="1"/>
  <c r="J54" i="1"/>
  <c r="J58" i="1"/>
  <c r="J62" i="1"/>
  <c r="J66" i="1"/>
  <c r="J70" i="1"/>
  <c r="J133" i="1"/>
  <c r="J74" i="1" s="1"/>
  <c r="J51" i="1"/>
  <c r="J55" i="1"/>
  <c r="J57" i="1"/>
  <c r="J61" i="1"/>
  <c r="J65" i="1"/>
  <c r="J69" i="1"/>
  <c r="H30" i="5"/>
  <c r="B29" i="9"/>
  <c r="H45" i="5"/>
  <c r="B34" i="9"/>
  <c r="B43" i="9"/>
  <c r="H57" i="5"/>
  <c r="H79" i="5"/>
  <c r="J47" i="1"/>
  <c r="J49" i="1"/>
  <c r="J53" i="1"/>
  <c r="J48" i="1"/>
  <c r="J52" i="1"/>
  <c r="J56" i="1"/>
  <c r="J60" i="1"/>
  <c r="J64" i="1"/>
  <c r="J68" i="1"/>
  <c r="F60" i="3"/>
  <c r="H3" i="5" l="1"/>
</calcChain>
</file>

<file path=xl/sharedStrings.xml><?xml version="1.0" encoding="utf-8"?>
<sst xmlns="http://schemas.openxmlformats.org/spreadsheetml/2006/main" count="1485" uniqueCount="333">
  <si>
    <t>Рекомендації учасників судових проваджень</t>
  </si>
  <si>
    <t>Кількість респондентів</t>
  </si>
  <si>
    <t>Блок 1 Загальна характеристика респондента</t>
  </si>
  <si>
    <t>1. Вік:</t>
  </si>
  <si>
    <t>Кількість</t>
  </si>
  <si>
    <t>%</t>
  </si>
  <si>
    <t>2. Стать:</t>
  </si>
  <si>
    <t>18-25 років</t>
  </si>
  <si>
    <t xml:space="preserve">Розподіл за віковими характеристиками </t>
  </si>
  <si>
    <t>Чоловіча</t>
  </si>
  <si>
    <t>26-39 років</t>
  </si>
  <si>
    <t>Жіноча</t>
  </si>
  <si>
    <t>40-59 років</t>
  </si>
  <si>
    <t>60 років і старше</t>
  </si>
  <si>
    <t>3. Рівень освіти:</t>
  </si>
  <si>
    <t>4. Наявність вищої юридичної освіти:</t>
  </si>
  <si>
    <t>Середня та неповна середня</t>
  </si>
  <si>
    <t>Розподіл за статтю</t>
  </si>
  <si>
    <t>Так</t>
  </si>
  <si>
    <t>Вища та неповна вища</t>
  </si>
  <si>
    <t>Ні</t>
  </si>
  <si>
    <t>Географічний розподіл</t>
  </si>
  <si>
    <t>Респоненти, що проживають населеному пункті, де розташований цей суд</t>
  </si>
  <si>
    <t>Інше</t>
  </si>
  <si>
    <t>5. Де Ви проживаєте:</t>
  </si>
  <si>
    <t>В населеному пункті, де розташований цей суд</t>
  </si>
  <si>
    <t>В іншому населеному пункті</t>
  </si>
  <si>
    <t>Розподіл за матеріальними статками</t>
  </si>
  <si>
    <t>Змушені економити на харчуванні</t>
  </si>
  <si>
    <t>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</si>
  <si>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 xml:space="preserve">6. Як Ви оцінюєте матеріальне становище своєї родини? </t>
  </si>
  <si>
    <t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</si>
  <si>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Вистачає на харчування, одяг, взуття, дорогі покупки. Для таких покупок як машина, квартира необхідно заощадити або позичити</t>
  </si>
  <si>
    <t>Будь-які необхідні покупки можуть зробити в будь-який час</t>
  </si>
  <si>
    <t>Не відповіли</t>
  </si>
  <si>
    <t>Рівень освіти</t>
  </si>
  <si>
    <t>Будь-які необхідні покупки можу зробити в будь-який час</t>
  </si>
  <si>
    <t>Розподіл за роллю в судовому процесі</t>
  </si>
  <si>
    <t>Є учасником судових проваджень і представляєте особисто себе</t>
  </si>
  <si>
    <t>7. Сьогодні у суді Ви:</t>
  </si>
  <si>
    <t>Є учасником судових проваджень, але представляєте іншу фізичну чи юридичну особу (є адвокатом, представником прокуратури, юрист-консультантом)</t>
  </si>
  <si>
    <t>Не є учасником судових проваджень</t>
  </si>
  <si>
    <t>Розподіл за судовим процесом</t>
  </si>
  <si>
    <t>Цивільний процес</t>
  </si>
  <si>
    <t>Кримінальний процес</t>
  </si>
  <si>
    <t>8. В якому з видів судового процесу в цьому суді Ви берете участь</t>
  </si>
  <si>
    <t>Адміністративний процес</t>
  </si>
  <si>
    <t>9. На якій стадії розгляду перебуває Ваша справа</t>
  </si>
  <si>
    <t>Господарський процес</t>
  </si>
  <si>
    <t>Справа про адміністративні правопорушення</t>
  </si>
  <si>
    <t>Розгляд справи ще не розпочато</t>
  </si>
  <si>
    <t>Розподіл за стадією розгляду справи</t>
  </si>
  <si>
    <t>Справа перебуває в процесі розгляду</t>
  </si>
  <si>
    <t>Розгляд справи завершено (винесено рішення)</t>
  </si>
  <si>
    <t>Загальна оцінка якості роботи суду за 5-бальною шкалою.</t>
  </si>
  <si>
    <t>№</t>
  </si>
  <si>
    <t>Респондент за характеристикою</t>
  </si>
  <si>
    <t>1 (дуже погано)</t>
  </si>
  <si>
    <t>Середня інтегральна оцінка</t>
  </si>
  <si>
    <t>Респонденти віком 18-25 років</t>
  </si>
  <si>
    <t>10. Як часто за останні три (3) роки Ви були учасником судового процесу саме в цьому суді:</t>
  </si>
  <si>
    <t>Жодного разу</t>
  </si>
  <si>
    <t>Один раз</t>
  </si>
  <si>
    <t>Респонденти віком віком 26–39 років</t>
  </si>
  <si>
    <t>2–5 разів</t>
  </si>
  <si>
    <t>6 разів і більше</t>
  </si>
  <si>
    <t>11. Як часто за останні три (3) роки цей суд приймав рішення по Вашій справі*?</t>
  </si>
  <si>
    <t>Респонденти віком 40–59 років</t>
  </si>
  <si>
    <t>Респонденти віком 60 років і старше</t>
  </si>
  <si>
    <t>12. Оцініть, будь ласка, за 5-бальною шкалою якість роботи цього суду (1 – дуже погано, 5 – відмінно, 9 – КН) ВСІ РЕСПОНДЕНТИ</t>
  </si>
  <si>
    <t>Чоловіки</t>
  </si>
  <si>
    <t>Жінки</t>
  </si>
  <si>
    <t>Середня оцінка всіма респондентами</t>
  </si>
  <si>
    <t>Середня оцінка респонентами віком 18-25 років</t>
  </si>
  <si>
    <t xml:space="preserve">Респонденти з середньою та неповною середньою освітою </t>
  </si>
  <si>
    <t xml:space="preserve">Респонденти з вищою та неповною вищою освітою </t>
  </si>
  <si>
    <t>Середня оцінка респонентами віком 26–39 років</t>
  </si>
  <si>
    <t xml:space="preserve">Респонденти, які мають іншу освіту </t>
  </si>
  <si>
    <t>Середня оцінка респонентами віком 40–59 років</t>
  </si>
  <si>
    <t>Місцеві респонденти</t>
  </si>
  <si>
    <t>Середня оцінка респонентами віком 60 років і старше</t>
  </si>
  <si>
    <t>Респонденти, що проживають у іншому населеному пункті</t>
  </si>
  <si>
    <t>Респонденти, які змушені економити на харчуванні</t>
  </si>
  <si>
    <t>Середня оцінка жінками</t>
  </si>
  <si>
    <t>Респонденти,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</si>
  <si>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Середня оцінка чоловіками</t>
  </si>
  <si>
    <t>Респонденти,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</si>
  <si>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 xml:space="preserve">Середня оцінка респондентами з середньою та неповною середньою освітою </t>
  </si>
  <si>
    <t>Респонденти, яким вистачає на харчування, одяг, взуття, дорогі покупки. Для таких покупок як машина, квартира необхідно заощадити або позичити</t>
  </si>
  <si>
    <t xml:space="preserve">Середня оцінка респондентами з вищою та неповною вищою освітою </t>
  </si>
  <si>
    <t>Респонденти, які будь-які необхідні покупки можуть зробити в будь-який час</t>
  </si>
  <si>
    <t>Респонденти, які не вказали матеріальне становище своєї родини</t>
  </si>
  <si>
    <t xml:space="preserve">Середня оцінка респондентами, які мають іншу освіту </t>
  </si>
  <si>
    <t>Респонденти, які є учасниками судових проваджень і представляють особисто себе</t>
  </si>
  <si>
    <t>Середня оцінка респондентами, які мають вищу юридичну освіту</t>
  </si>
  <si>
    <t>Респонденти,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</si>
  <si>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Середня оцінка респондентами, які не мають вищої юридичної освіти</t>
  </si>
  <si>
    <t>Респонденти, які не є учасниками судових проваджень</t>
  </si>
  <si>
    <t>Середня оцінка місцевими респондентами</t>
  </si>
  <si>
    <t>Середня оцінка іншими респондентами</t>
  </si>
  <si>
    <t>Респонденти, що беруть участь у цивільних справах</t>
  </si>
  <si>
    <t>Середня оцінка респондентами, що проживають у іншому населеному пункті</t>
  </si>
  <si>
    <t>Респонденти, що беруть участь у кримінальних справах</t>
  </si>
  <si>
    <t>Респонденти, що беруть участь у адміністративних справах</t>
  </si>
  <si>
    <t>Середня оцінка респондентами, які змушені економити на харчуванні</t>
  </si>
  <si>
    <t>Респонденти, що беруть участь у господарських справах</t>
  </si>
  <si>
    <t>Респонденти, що беруть участь у справах про адміністративні правопорушення</t>
  </si>
  <si>
    <t>Середня оцінка респондентами,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</si>
  <si>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Середній інтегральний показник за вимірами якості</t>
  </si>
  <si>
    <t>Середня оцінка респондентами,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</si>
  <si>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Доступність суду. Інтегральні показники за картками громадянського звітування</t>
  </si>
  <si>
    <t>Показник</t>
  </si>
  <si>
    <t>Одиниця виміру</t>
  </si>
  <si>
    <t>Значення</t>
  </si>
  <si>
    <t>Чи легко Вам було знайти будівлю суду?</t>
  </si>
  <si>
    <t>Від 1 (цілком ні) до 5 (цілком так)</t>
  </si>
  <si>
    <t>Чи зручно Вам діставатися до будівлі суду громадським транспортом? (Якщо Ви не користуєтеся громадським транспортом, пропустіть це запитання)</t>
  </si>
  <si>
    <t>Середня оцінка респондентами, яким вистачає на харчування, одяг, взуття, дорогі покупки. Для таких покупок як машина, квартира необхідно заощадити або позичити</t>
  </si>
  <si>
    <t>Чи зручно паркувати автомобіль (достатньо паркувальних місць) біля будівлі суду? (Якщо Ви дісталися не на автомобілі – тобто громадським транспортом або пішки, пропустіть це питання)</t>
  </si>
  <si>
    <t>Чи зазнавали Ви певних перешкод у доступі до приміщень суду через обмеження охорони?</t>
  </si>
  <si>
    <t>Від 1 (цілком так) до 5 (цілком ні)</t>
  </si>
  <si>
    <t>Як Ви вважаєте, чи люди з обмеженими можливостями можуть безперешкодно потрапити до приміщення суду і користуватися послугами суду?</t>
  </si>
  <si>
    <t>Середня оцінка респондентами, які будь-які необхідні покупки можуть зробити в будь-який час</t>
  </si>
  <si>
    <t>Якщо Вам доводилося телефонувати до суду, чи завжди вдавалось додзвонитися?</t>
  </si>
  <si>
    <t>Якщо Вам доводилося телефонувати до суду, чи завжди вдавалось отримати потрібну інформацію?</t>
  </si>
  <si>
    <t>Середня оцінка респондентами, які не вказали матеріальне становище своєї родини</t>
  </si>
  <si>
    <t>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ін.)?*</t>
  </si>
  <si>
    <t xml:space="preserve">Чи могли б Ви собі дозволити витрати на послуги адвоката у разі необхідності?
</t>
  </si>
  <si>
    <t>Середня оцінка респондентами, які є учасниками судових проваджень і представляють особисто себе</t>
  </si>
  <si>
    <t>ЗАГАЛЬНИЙ ІНДЕКС</t>
  </si>
  <si>
    <t>*У стандартному опитувальнику є одне питання, важливе для характеристики роботи суду, однак за змістом воно не може включатись до розрахунку інтегральної оцінки доступності. Це показник «зручність графіка роботи канцелярії суду», стор.55 посібника з СОРС</t>
  </si>
  <si>
    <t>Зручність та комфортність перебування в суді. Інтегральні показники за картками громадянського звітування</t>
  </si>
  <si>
    <t>Середня оцінка респондентами,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</si>
  <si>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– достатність зручних місць для очікування, оформлення документів, підготовки до засідання</t>
  </si>
  <si>
    <t>– вільний доступ до побутових приміщень (туалетів)</t>
  </si>
  <si>
    <t>– чистота та прибраність приміщень</t>
  </si>
  <si>
    <t>Середня оцінка респондентами, які не є учасниками судових проваджень</t>
  </si>
  <si>
    <t>– достатність освітлення</t>
  </si>
  <si>
    <t>Повнота та ясність інформації. Інтегральні показники за картками громадянського звітування</t>
  </si>
  <si>
    <t>Чи зручно у суді розташовані інформаційні стенди (дошки об’яв)?</t>
  </si>
  <si>
    <t>Середня оцінка респондентами, що беруть участь у цивільних справах</t>
  </si>
  <si>
    <t>Чи повною мірою задовольняє Вас наявна в суді інформація щодо:</t>
  </si>
  <si>
    <t>– розташування кабінетів, залів судових засідань, інших приміщень</t>
  </si>
  <si>
    <t>– правил допуску в суд та перебування в ньому</t>
  </si>
  <si>
    <t>Середня оцінка респондентами, що беруть участь у кримінальних справах</t>
  </si>
  <si>
    <t>– справ, що призначені до розгляду</t>
  </si>
  <si>
    <t>– зразків документів (заяв, клопотань тощо)</t>
  </si>
  <si>
    <t>Середня оцінка респондентами, що беруть участь у адміністративних справах</t>
  </si>
  <si>
    <t>– порядку сплати судових зборів та мита, реквізити та розміри платежів</t>
  </si>
  <si>
    <t>Чи користувалися Ви сторінкою суду в мережі інтернет?</t>
  </si>
  <si>
    <t>відсоток</t>
  </si>
  <si>
    <t>Середня оцінка респондентами, що беруть участь у господарських справах</t>
  </si>
  <si>
    <t>Чи знайшли Ви на сторінці суду потрібну для Вас інформацію?</t>
  </si>
  <si>
    <t>Середня оцінка респондентами, що беруть участь у справах про адміністративні правопорушення</t>
  </si>
  <si>
    <t>Сприйняття роботи працівників апарату суду. Інтегральні показники за картками громадянського звітування</t>
  </si>
  <si>
    <t>Чи старанно працювали працівники суду?</t>
  </si>
  <si>
    <t>Чи не припускалися працівники апарату суду помилок, які призводили б до перероблення документів та (або) порушення строків розгляду справ?</t>
  </si>
  <si>
    <t>Чи виявили працівники апарату суду при спілкуванні з Вами:</t>
  </si>
  <si>
    <t>– доброзичливість, повагу, бажання допомогти</t>
  </si>
  <si>
    <t>– однакове ставлення до всіх, незалежно від соціального статусу</t>
  </si>
  <si>
    <t>– професіоналізм, знання своєї справи</t>
  </si>
  <si>
    <t>Дотримання термінів судового розгляду. Інтегральні показники за картками громадянського звітування</t>
  </si>
  <si>
    <t>Чи вчасно (відповідно до графіка) розпочалося останнє засідання по Вашій справі?</t>
  </si>
  <si>
    <t>Чи було враховано Ваші побажання при призначенні дня та часу засідання?</t>
  </si>
  <si>
    <t>Чи вчасно Ви отримували повістки та повідомлення про розгляд справи?</t>
  </si>
  <si>
    <t>Чи вважаєте Ви обґрунтованими затримки/ перенесення слухань у розгляді Вашої справи?</t>
  </si>
  <si>
    <t>Сприйняття роботи судді. Інтегральні показники за картками громадянського звітування</t>
  </si>
  <si>
    <t>– неупередженість та незалежність (суддя не піддався зовнішньому тиску, якщо такий був)</t>
  </si>
  <si>
    <t>– коректність, доброзичливість, ввічливість</t>
  </si>
  <si>
    <t>– належна підготовка до справи та знання справи</t>
  </si>
  <si>
    <t>– надання можливостей сторонам обґрунтовувати свою позицію</t>
  </si>
  <si>
    <t>– дотримання процедури розгляду</t>
  </si>
  <si>
    <t>Судове рішення. Відносні, кількісні та інтегральні показники за картками громадянського звітування тих респондентів, чиї справи вже завершено.</t>
  </si>
  <si>
    <t>Кількість респондентів, чиї справи вже завершено</t>
  </si>
  <si>
    <t>число</t>
  </si>
  <si>
    <t>Рішення на користь респондента</t>
  </si>
  <si>
    <t>Отримання респондентами тексту рішення по
справі</t>
  </si>
  <si>
    <t>Вчасне отримання респондентами тексту рішення по
справі</t>
  </si>
  <si>
    <t>Легкість та доступність для розуміння мови
викладення рішення</t>
  </si>
  <si>
    <t>Сприйняття респондентами обґрунтованості
рішення (чи було рішення добре обґрунтоване?)</t>
  </si>
  <si>
    <t>Середня кількість судових засідань, що відбулися по справах тих респондентів, чиї справи вже завершено</t>
  </si>
  <si>
    <t>Число</t>
  </si>
  <si>
    <t>Середня кількість судових засідань, що не відбулися через неналежну організацію роботи
суду</t>
  </si>
  <si>
    <t>Середня кількість візитів до суду, що не були
пов’язані з судовими засіданнями</t>
  </si>
  <si>
    <t>Зміни, рекомендації та система «Електронний суд»</t>
  </si>
  <si>
    <t>На думку учасників судових проваджень, чи забезпечують наявні матеріально-технічні ресурси потреби працівників суду для ефективного виконання своїх обов’язків?</t>
  </si>
  <si>
    <t>Не відповіли на питання</t>
  </si>
  <si>
    <t>Якими є Ваші враження від візиту до суду сьогодні порівняно з Вашими очікуваннями?</t>
  </si>
  <si>
    <t>Кращі, ніж очікував (-ла)</t>
  </si>
  <si>
    <t>Гірші, ніж очікував (-ла)</t>
  </si>
  <si>
    <t>Відповідають очікуванням</t>
  </si>
  <si>
    <t>Якщо Ви були в цьому суді раніше (минулого року або ще раніше), то як, на Ваш погляд, змінилась якість роботи суду загалом?</t>
  </si>
  <si>
    <t>Покращилась значно</t>
  </si>
  <si>
    <t>Покращилась несуттєво</t>
  </si>
  <si>
    <t>Залишилась без змін</t>
  </si>
  <si>
    <t>Дещо погіршилася</t>
  </si>
  <si>
    <t>Значно погіршилася</t>
  </si>
  <si>
    <t>Важко сказати</t>
  </si>
  <si>
    <t>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</t>
  </si>
  <si>
    <t xml:space="preserve">Чи користувалися Ви особисто системою «Електронний суд»? 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</si>
  <si>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</si>
  <si>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Блок 2. Основна частина – оцінювання роботи суду за вимірами якості</t>
  </si>
  <si>
    <t xml:space="preserve">Узагальнена інтегральна оцінка роботи суду </t>
  </si>
  <si>
    <t>Доступність суду</t>
  </si>
  <si>
    <t>9 - КН</t>
  </si>
  <si>
    <t>Якщо Вам доводилося телефонувати до суду, чи завжди вдавалось додзвонитися та чи завжди вдавалось отримати потрібну інформацію?</t>
  </si>
  <si>
    <t>Чи могли б Ви собі дозволити витрати на послуги адвоката у разі необхідності?
 Якщо респондент Вже користується послугами адвоката або є адвокатом сам (сама), або представляє інтереси держави, позначте відповідь «9» – «КН»!</t>
  </si>
  <si>
    <t>*У стандартному опитувальнику є одне питання, важливе для характеристики роботи суду,</t>
  </si>
  <si>
    <t>однак за змістом воно не може включатись до розрахунку інтегральної оцінки доступності.</t>
  </si>
  <si>
    <t>Це показник «зручність графіка роботи канцелярії суду», стор.55 посібника з СОРС</t>
  </si>
  <si>
    <t>Зручність та комфортність перебування у суді</t>
  </si>
  <si>
    <t>Повнота та ясність інформації</t>
  </si>
  <si>
    <t>так</t>
  </si>
  <si>
    <t>ні</t>
  </si>
  <si>
    <t>Сприйняття роботи працівників апарату суду</t>
  </si>
  <si>
    <t>Дотримання строків судового розгляду</t>
  </si>
  <si>
    <t>Позначка часу</t>
  </si>
  <si>
    <t xml:space="preserve">1. Вік </t>
  </si>
  <si>
    <t>2. Стать</t>
  </si>
  <si>
    <t>3. Рівень освіти</t>
  </si>
  <si>
    <t>4. Наявність вищої юридичної освіти</t>
  </si>
  <si>
    <t>5. Де Ви проживаєте</t>
  </si>
  <si>
    <t>8. В якому з видів судового процесу в цьому суді  Ви берете участь</t>
  </si>
  <si>
    <t>12. Оцініть, будь ласка, за 5-бальною шкалою якість роботи цього суду (1 – дуже погано, 5 – відмінно, 9 – КН)</t>
  </si>
  <si>
    <t xml:space="preserve">13. Який ступінь Вашої обізнаності з роботою судів та суддів у цілому </t>
  </si>
  <si>
    <t>14. В Україні існує можливість альтернативного (позасудового) вирішення спорів, наприклад, шляхом застосування медіації. Наскільки Ви вважаєте себе обізнаним(-ою) щодо альтернативного вирішення спорів?</t>
  </si>
  <si>
    <t>Доступність суду [Чи легко Вам було знайти будівлю суду?]</t>
  </si>
  <si>
    <t>Доступність суду [Чи зручно Вам діставатися до будівлі суду громадським транспортом?]</t>
  </si>
  <si>
    <t>Доступність суду [Чи зручно паркувати автомобіль (достатньо паркувальних місць) біля будівлі суду?]</t>
  </si>
  <si>
    <t>Доступність суду [Чи зазнавали Ви певних перешкод у доступі до приміщень суду через обмеження охорони?]</t>
  </si>
  <si>
    <t>Доступність суду [Як Ви вважаєте, чи люди з обмеженими можливостями можуть безперешкодно потрапити до приміщення суду і користуватися послугами суду?]</t>
  </si>
  <si>
    <t>Доступність суду [Якщо Вам доводилося телефонувати до суду, чи завжди вдавалось додзвонитися?]</t>
  </si>
  <si>
    <t>Доступність суду [Якщо Вам доводилося телефонувати до суду, чи завжди вдавалось отримати потрібну інформацію?]</t>
  </si>
  <si>
    <t>Доступність суду [Чи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ін.)?]</t>
  </si>
  <si>
    <t>Доступність суду [Чи могли б Ви собі дозволити витрати на послуги адвоката у разі необхідності?]</t>
  </si>
  <si>
    <t>Зручність та комфортність перебування у суді [–	достатність зручних місць для очікування, оформлення документів, підготовки до засідання]</t>
  </si>
  <si>
    <t>Зручність та комфортність перебування у суді [–	вільний доступ до побутових приміщень (туалетів)]</t>
  </si>
  <si>
    <t>Зручність та комфортність перебування у суді [–	чистота та прибраність приміщень]</t>
  </si>
  <si>
    <t>Зручність та комфортність перебування у суді [–	достатність освітлення]</t>
  </si>
  <si>
    <t>Повнота та ясність інформації [Чи зручно у суді розташовані інформаційні стенди (дошки об’яв)?]</t>
  </si>
  <si>
    <t>Повнота та ясність інформації [–	розташування кабінетів, залів судових засідань, інших приміщень]</t>
  </si>
  <si>
    <t>Сприйняття роботи судді</t>
  </si>
  <si>
    <t>Повнота та ясність інформації [–	правил допуску в суд та перебування в ньому]</t>
  </si>
  <si>
    <t>Повнота та ясність інформації [–	справ, що призначені до розгляду]</t>
  </si>
  <si>
    <t>Повнота та ясність інформації [–	зразків документів (заяв, клопотань тощо)]</t>
  </si>
  <si>
    <t>Повнота та ясність інформації [–	порядку сплати судових зборів та мита, реквізити та розміри платежів]</t>
  </si>
  <si>
    <t>Повнота та ясність інформації [Чи користувалися Ви сторінкою суду в мережі інтернет?]</t>
  </si>
  <si>
    <t>Повнота та ясність інформації [Чи знайшли Ви на сторінці суду потрібну для Вас інформацію?]</t>
  </si>
  <si>
    <t>Сприйняття роботи працівників апарату суду [Чи старанно працювали працівники суду?]</t>
  </si>
  <si>
    <t>Сприйняття роботи працівників апарату суду [Чи не припускалися працівники апарату суду помилок, які призводили б до перероблення документів та (або) порушення строків розгляду справ?]</t>
  </si>
  <si>
    <t>Сприйняття роботи працівників апарату суду [–	доброзичливість, повагу, бажання допомогти]</t>
  </si>
  <si>
    <t>Сприйняття роботи працівників апарату суду [–	однакове ставлення до всіх, незалежно від соціального статусу]</t>
  </si>
  <si>
    <t>Сприйняття роботи працівників апарату суду [–	професіоналізм, знання своєї справи]</t>
  </si>
  <si>
    <t>Дотримання строків судового розгляду [Чи вчасно (відповідно до графіка) розпочалося останнє засідання по Вашій справі?]</t>
  </si>
  <si>
    <t>Дотримання строків судового розгляду [Чи було враховано Ваші побажання при призначенні дня та часу засідання?]</t>
  </si>
  <si>
    <t>Дотримання строків судового розгляду [Чи вчасно Ви отримували повістки та повідомлення про розгляд справи?]</t>
  </si>
  <si>
    <t>Дотримання строків судового розгляду [Чи вважаєте Ви обґрунтованими затримки/ перенесення слухань у розгляді Вашої справи?]</t>
  </si>
  <si>
    <t>Сприйняття роботи судді [–	неупередженість та незалежність (суддя не піддався зовнішньому тиску, якщо такий був)]</t>
  </si>
  <si>
    <t>Сприйняття роботи судді [–	коректність, доброзичливість, ввічливість]</t>
  </si>
  <si>
    <t>Чи були, на Вашу думку, характерними для судді, що розглядав Вашу справу (одноособово чи як голова колегії суддів):</t>
  </si>
  <si>
    <t>Сприйняття роботи судді [–	належна підготовка до справи та знання справи]</t>
  </si>
  <si>
    <t>Сприйняття роботи судді [–	надання можливостей сторонам обґрунтовувати свою позицію]</t>
  </si>
  <si>
    <t>Сприйняття роботи судді [–	дотримання процедури розгляду]</t>
  </si>
  <si>
    <t>Судове рішення (якщо розгляд справи завершено) [Чи рішення по Вашій справі було на Вашу користь?]</t>
  </si>
  <si>
    <t>Судове рішення (якщо розгляд справи завершено) [Чи плануєте Ви оскаржувати рішення по Вашій справі?]</t>
  </si>
  <si>
    <t>Судове рішення (якщо розгляд справи завершено) [Чи отримали Ви повний текст рішення по Вашій справі?]</t>
  </si>
  <si>
    <t>Судове рішення (якщо розгляд справи завершено) [Чи вчасно Ви отримали повний текст рішення по Вашій справі?]</t>
  </si>
  <si>
    <t>Судове рішення (якщо розгляд справи завершено) [Чи було рішення викладено легкою, доступною для розуміння мовою?]</t>
  </si>
  <si>
    <t>Судове рішення (якщо розгляд справи завершено) [На Вашу думку, чи було рішення по Вашій справі добре обґрунтованим?]</t>
  </si>
  <si>
    <t>В процесі, де Ви є чи були учасником (учасницею) проваджень вкажіть загальну кількість судових засідань, що відбулися по Вашій справі</t>
  </si>
  <si>
    <t>В процесі, де Ви є чи були учасником (учасницею) проваджень вкажіть загальну кількість судових засідань, що не відбулися через неналежну організацію роботи суду</t>
  </si>
  <si>
    <t>В процесі, де Ви є чи були учасником (учасницею) проваджень вкажіть загальну кількість візитів до суду, що не були пов'язані з участю в судових засіданнях</t>
  </si>
  <si>
    <t xml:space="preserve">59. Які конкретні зміни, на Ваш погляд, необхідні для покращення роботи цього суду </t>
  </si>
  <si>
    <t>60. Як Ви вважаєте, чи наявні матеріально-технічні ресурси забезпечують потреби працівників суду для ефективного виконання своїх обов’язків? [1- Так, 2 - Ні, 9 - КН]</t>
  </si>
  <si>
    <t>61. Якими є Ваші враження від візиту до суду сьогодні порівняно з Вашими очікуваннями?</t>
  </si>
  <si>
    <t>62. Якщо Ви були в цьому суді раніше (минулого року або ще раніше), то як, на Ваш погляд, змінилась якість роботи суду загалом?</t>
  </si>
  <si>
    <t>63.Чи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</t>
  </si>
  <si>
    <t xml:space="preserve">64.Чи користувалися Ви особисто системою «Електронний суд»? </t>
  </si>
  <si>
    <t>65. Якщо Ви користувалися системою «Електронний суд» , дайте оцінку роботі цієї системи. [1 – дуже погано,  2 – незадовільно, 3 – задовільно, 4 – добре, 5 – відмінно, 9 – КН]</t>
  </si>
  <si>
    <t>Якщо не заперечуєте, поясніть свою оцінку системи «Електронний суд»</t>
  </si>
  <si>
    <t>40–59 років</t>
  </si>
  <si>
    <t>На мою думку для покращення роботи суду необхідно укомплектувати штат.</t>
  </si>
  <si>
    <t>Справа про адміністративні  правопорушення</t>
  </si>
  <si>
    <t>КН</t>
  </si>
  <si>
    <t>26–39 років</t>
  </si>
  <si>
    <t>Не був ніколи учасником процесу в цьому суді</t>
  </si>
  <si>
    <t>18–25 років</t>
  </si>
  <si>
    <t>Це мій перший судовий процес</t>
  </si>
  <si>
    <t>Судове рішення (якщо розгляд справи завершено)</t>
  </si>
  <si>
    <t>Більша кількість суддів, техніка для працівників.</t>
  </si>
  <si>
    <t>Чи рішення по Вашій справі було на Вашу користь?</t>
  </si>
  <si>
    <t>Розгляд справи не завершено</t>
  </si>
  <si>
    <t>Чи плануєте Ви оскаржувати рішення по Вашій справі?</t>
  </si>
  <si>
    <t>КН (код невідповіді)</t>
  </si>
  <si>
    <t>Чи отримали Ви повний текст рішення по Вашій справі?</t>
  </si>
  <si>
    <t>Чи вчасно Ви отримали повний текст рішення по Вашій справі?</t>
  </si>
  <si>
    <t>Кімнати для представлення сторони.</t>
  </si>
  <si>
    <t>Чи було рішення викладено легкою, доступною для розуміння мовою?</t>
  </si>
  <si>
    <t>На Вашу думку, чи було рішення по Вашій справі добре обґрунтованим?</t>
  </si>
  <si>
    <t>В процесі, де Ви є чи були учасником (учасницею) проваджень вкажіть загальну кількість:</t>
  </si>
  <si>
    <t>– судових засідань, що відбулися по Вашій справі</t>
  </si>
  <si>
    <t>– судових засідань, що не відбулися через неналежну організацію роботи суду</t>
  </si>
  <si>
    <t>– візитів до суду, що не були пов'язані з участю в судових засіданнях</t>
  </si>
  <si>
    <t>Цілковита автоматизованість судової системи.</t>
  </si>
  <si>
    <t>Блок 3. Зміни, рекомендації та система «Електронний суд»</t>
  </si>
  <si>
    <t>Як Ви вважаєте, чи наявні матеріально-технічні ресурси забезпечують потреби працівників суду для ефективного виконання своїх обов’язків?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</si>
  <si>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</si>
  <si>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Респонденти, що вважають себе незаможними</t>
  </si>
  <si>
    <t>Респонденти, що вважають своє матеріальне становище нижчим середнього</t>
  </si>
  <si>
    <t>Респонденти, що вважають своє матеріальне становище середнім</t>
  </si>
  <si>
    <t>Респонденти, що вважають своє матеріальне становище вищим середнього</t>
  </si>
  <si>
    <t>Респонденти, що вважають себе заможними</t>
  </si>
  <si>
    <t>Респонденти, які представляють особисто себе</t>
  </si>
  <si>
    <t>Респонденти, які представляють іншу особу</t>
  </si>
  <si>
    <t>Інші респонденти</t>
  </si>
  <si>
    <t>Чи зручно Вам діставатися до будівлі суду громадським транспортом?</t>
  </si>
  <si>
    <t>Чи зручно паркувати автомобіль (достатньо паркувальних місць) біля будівлі суду?</t>
  </si>
  <si>
    <t>Чи зазнавали Ви перешкод у доступі до приміщень суду через охорону?</t>
  </si>
  <si>
    <t>Чи можуть люди з обмеженими можливостями безперешкодно потрапити до приміщення суду і користуватися послугами суду?</t>
  </si>
  <si>
    <t>Чи давав графік роботи канцелярії суду можливість вчасно та безперешкодно вирішувати Ваші справи у суді</t>
  </si>
  <si>
    <t>Чи могли б Ви собі дозволити витрати на послуги адвоката у разі необхідності?</t>
  </si>
  <si>
    <t>достатність місць для очікування, оформлення документів, підготовки до засідання</t>
  </si>
  <si>
    <t>вільний доступ до побутових приміщень (туалетів)</t>
  </si>
  <si>
    <t>чистота та прибраність приміщень</t>
  </si>
  <si>
    <t>достатність освітлення</t>
  </si>
  <si>
    <t>Чи задовольняє Вас інформація щодо розташування кабінетів, залів судових засідань, інших приміщень</t>
  </si>
  <si>
    <t>Чи задовольняє Вас інформація щодо правил допуску в суд та перебування в ньому</t>
  </si>
  <si>
    <t>Чи задовольняє Вас інформація щодо справ, що призначені до розгляду</t>
  </si>
  <si>
    <t>Чи задовольняє Вас інформація щодо зразків документів (заяв, клопотань тощо)</t>
  </si>
  <si>
    <t>Чи задовольняє Вас інформація щодо порядку сплати судових зборів та мита, реквізити та розміри платежів</t>
  </si>
  <si>
    <t>Чи виявили працівники апарату суду при спілкуванні з Вами доброзичливість, повагу, бажання допомогти</t>
  </si>
  <si>
    <t>Чи виявили працівники апарату суду при спілкуванні з Вами однакове ставлення до всіх, незалежно від соціального статусу</t>
  </si>
  <si>
    <t>Чи виявили працівники апарату суду при спілкуванні з Вами професіоналізм, знання своєї справи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</si>
</sst>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0" x14ac:knownFonts="1">
    <font>
      <sz val="10"/>
      <color rgb="FF000000"/>
      <name val="Arial"/>
    </font>
    <font>
      <b/>
      <sz val="10"/>
      <name val="Arial"/>
    </font>
    <font>
      <sz val="11"/>
      <color rgb="FF000000"/>
      <name val="Times New Roman"/>
    </font>
    <font>
      <sz val="10"/>
      <name val="Arial"/>
    </font>
    <font>
      <sz val="10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b/>
      <u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name val="Arial"/>
    </font>
    <font>
      <sz val="10"/>
      <name val="Arial"/>
    </font>
    <font>
      <sz val="11"/>
      <name val="Arial"/>
    </font>
    <font>
      <sz val="12"/>
      <name val="Arial"/>
    </font>
    <font>
      <b/>
      <sz val="14"/>
      <name val="Arial"/>
    </font>
    <font>
      <b/>
      <sz val="14"/>
      <name val="Times New Roman"/>
    </font>
    <font>
      <b/>
      <sz val="12"/>
      <name val="Times New Roman"/>
    </font>
    <font>
      <b/>
      <sz val="11"/>
      <name val="Arial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b/>
      <u/>
      <sz val="14"/>
      <color rgb="FF000000"/>
      <name val="Times New Roman"/>
    </font>
    <font>
      <b/>
      <u/>
      <sz val="14"/>
      <name val="Arial"/>
    </font>
    <font>
      <b/>
      <sz val="18"/>
      <name val="Arial"/>
    </font>
    <font>
      <b/>
      <sz val="18"/>
      <name val="Times New Roman"/>
    </font>
    <font>
      <b/>
      <u/>
      <sz val="12"/>
      <name val="Arial"/>
    </font>
    <font>
      <i/>
      <sz val="11"/>
      <name val="Arial"/>
    </font>
    <font>
      <i/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 applyAlignment="1"/>
    <xf numFmtId="0" fontId="7" fillId="0" borderId="0" xfId="0" applyFont="1" applyAlignment="1">
      <alignment horizontal="left"/>
    </xf>
    <xf numFmtId="0" fontId="6" fillId="2" borderId="1" xfId="0" applyFont="1" applyFill="1" applyBorder="1" applyAlignment="1"/>
    <xf numFmtId="0" fontId="8" fillId="0" borderId="0" xfId="0" applyFont="1" applyAlignment="1"/>
    <xf numFmtId="0" fontId="9" fillId="2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vertical="top"/>
    </xf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10" fontId="3" fillId="0" borderId="0" xfId="0" applyNumberFormat="1" applyFont="1"/>
    <xf numFmtId="0" fontId="8" fillId="0" borderId="1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6" fillId="0" borderId="0" xfId="0" applyFont="1" applyAlignment="1"/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2" fontId="3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7" fillId="4" borderId="4" xfId="0" applyFont="1" applyFill="1" applyBorder="1" applyAlignment="1"/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2" fontId="17" fillId="4" borderId="2" xfId="0" applyNumberFormat="1" applyFont="1" applyFill="1" applyBorder="1" applyAlignment="1">
      <alignment horizontal="center"/>
    </xf>
    <xf numFmtId="0" fontId="16" fillId="0" borderId="0" xfId="0" applyFont="1" applyAlignment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2" fontId="20" fillId="6" borderId="1" xfId="0" applyNumberFormat="1" applyFont="1" applyFill="1" applyBorder="1" applyAlignment="1">
      <alignment horizontal="center"/>
    </xf>
    <xf numFmtId="0" fontId="20" fillId="0" borderId="1" xfId="0" applyFont="1" applyBorder="1"/>
    <xf numFmtId="2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2" fontId="8" fillId="9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21" fillId="0" borderId="1" xfId="0" applyFont="1" applyBorder="1" applyAlignment="1"/>
    <xf numFmtId="0" fontId="4" fillId="0" borderId="1" xfId="0" applyFont="1" applyBorder="1"/>
    <xf numFmtId="2" fontId="22" fillId="0" borderId="1" xfId="0" applyNumberFormat="1" applyFont="1" applyBorder="1" applyAlignment="1">
      <alignment horizontal="center"/>
    </xf>
    <xf numFmtId="10" fontId="20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1" xfId="0" applyFont="1" applyBorder="1" applyAlignment="1">
      <alignment horizontal="center" wrapText="1"/>
    </xf>
    <xf numFmtId="10" fontId="20" fillId="0" borderId="1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10" fontId="20" fillId="0" borderId="3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 wrapText="1"/>
    </xf>
    <xf numFmtId="0" fontId="23" fillId="0" borderId="0" xfId="0" applyFont="1" applyAlignment="1"/>
    <xf numFmtId="0" fontId="15" fillId="0" borderId="1" xfId="0" applyFont="1" applyBorder="1" applyAlignment="1"/>
    <xf numFmtId="10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/>
    <xf numFmtId="0" fontId="24" fillId="0" borderId="0" xfId="0" applyFont="1" applyAlignment="1"/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2" fontId="26" fillId="10" borderId="0" xfId="0" applyNumberFormat="1" applyFont="1" applyFill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14" fillId="6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horizontal="center" wrapText="1"/>
    </xf>
    <xf numFmtId="2" fontId="21" fillId="6" borderId="1" xfId="0" applyNumberFormat="1" applyFont="1" applyFill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6" borderId="0" xfId="0" applyFont="1" applyFill="1" applyAlignment="1"/>
    <xf numFmtId="0" fontId="3" fillId="6" borderId="0" xfId="0" applyFont="1" applyFill="1"/>
    <xf numFmtId="0" fontId="27" fillId="0" borderId="0" xfId="0" applyFont="1" applyAlignment="1"/>
    <xf numFmtId="0" fontId="15" fillId="0" borderId="0" xfId="0" applyFont="1" applyAlignment="1"/>
    <xf numFmtId="0" fontId="28" fillId="0" borderId="1" xfId="0" applyFont="1" applyBorder="1" applyAlignment="1">
      <alignment vertical="top" wrapText="1"/>
    </xf>
    <xf numFmtId="164" fontId="13" fillId="0" borderId="0" xfId="0" applyNumberFormat="1" applyFont="1" applyAlignment="1"/>
    <xf numFmtId="0" fontId="13" fillId="0" borderId="0" xfId="0" applyFont="1" applyAlignment="1"/>
    <xf numFmtId="0" fontId="29" fillId="0" borderId="1" xfId="0" applyFont="1" applyBorder="1" applyAlignment="1">
      <alignment wrapText="1"/>
    </xf>
    <xf numFmtId="0" fontId="13" fillId="0" borderId="9" xfId="0" applyFont="1" applyBorder="1" applyAlignment="1"/>
    <xf numFmtId="0" fontId="13" fillId="0" borderId="9" xfId="0" applyFont="1" applyBorder="1" applyAlignme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/>
    <xf numFmtId="0" fontId="14" fillId="0" borderId="4" xfId="0" applyFont="1" applyBorder="1" applyAlignment="1">
      <alignment vertical="top" wrapText="1"/>
    </xf>
    <xf numFmtId="0" fontId="3" fillId="0" borderId="5" xfId="0" applyFont="1" applyBorder="1"/>
    <xf numFmtId="0" fontId="3" fillId="0" borderId="2" xfId="0" applyFont="1" applyBorder="1"/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/>
    <xf numFmtId="0" fontId="12" fillId="0" borderId="0" xfId="0" applyFont="1" applyAlignment="1">
      <alignment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0" fillId="6" borderId="4" xfId="0" applyFont="1" applyFill="1" applyBorder="1" applyAlignment="1">
      <alignment vertical="top" wrapText="1"/>
    </xf>
    <xf numFmtId="0" fontId="10" fillId="0" borderId="4" xfId="0" applyFont="1" applyBorder="1" applyAlignment="1"/>
    <xf numFmtId="0" fontId="20" fillId="0" borderId="4" xfId="0" applyFont="1" applyBorder="1" applyAlignment="1">
      <alignment horizontal="center"/>
    </xf>
    <xf numFmtId="0" fontId="3" fillId="6" borderId="0" xfId="0" applyFont="1" applyFill="1" applyAlignment="1">
      <alignment wrapText="1"/>
    </xf>
    <xf numFmtId="0" fontId="20" fillId="6" borderId="4" xfId="0" applyFont="1" applyFill="1" applyBorder="1" applyAlignment="1">
      <alignment horizontal="center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/>
    <xf numFmtId="0" fontId="22" fillId="0" borderId="4" xfId="0" applyFont="1" applyBorder="1"/>
    <xf numFmtId="0" fontId="11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4" borderId="4" xfId="0" applyFont="1" applyFill="1" applyBorder="1" applyAlignment="1">
      <alignment wrapText="1"/>
    </xf>
    <xf numFmtId="0" fontId="12" fillId="8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/>
    <xf numFmtId="0" fontId="3" fillId="0" borderId="6" xfId="0" applyFont="1" applyBorder="1"/>
    <xf numFmtId="0" fontId="8" fillId="0" borderId="4" xfId="0" applyFont="1" applyBorder="1" applyAlignment="1">
      <alignment horizontal="left"/>
    </xf>
    <xf numFmtId="0" fontId="12" fillId="3" borderId="4" xfId="0" applyFont="1" applyFill="1" applyBorder="1" applyAlignment="1">
      <alignment wrapText="1"/>
    </xf>
    <xf numFmtId="0" fontId="12" fillId="7" borderId="4" xfId="0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2" fillId="9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25" fillId="1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Розподіл респондентів за віком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A6-4777-9640-21598428AC7D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A6-4777-9640-21598428AC7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A6-4777-9640-21598428AC7D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A6-4777-9640-21598428AC7D}"/>
              </c:ext>
            </c:extLst>
          </c:dPt>
          <c:cat>
            <c:strRef>
              <c:f>Block1!$A$6:$A$9</c:f>
              <c:strCache>
                <c:ptCount val="4"/>
                <c:pt idx="0">
                  <c:v>18-25 років</c:v>
                </c:pt>
                <c:pt idx="1">
                  <c:v>26-39 років</c:v>
                </c:pt>
                <c:pt idx="2">
                  <c:v>40-59 років</c:v>
                </c:pt>
                <c:pt idx="3">
                  <c:v>60 років і старше</c:v>
                </c:pt>
              </c:strCache>
            </c:strRef>
          </c:cat>
          <c:val>
            <c:numRef>
              <c:f>Block1!$B$6:$B$9</c:f>
              <c:numCache>
                <c:formatCode>General</c:formatCode>
                <c:ptCount val="4"/>
                <c:pt idx="0">
                  <c:v>15</c:v>
                </c:pt>
                <c:pt idx="1">
                  <c:v>22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8A6-4777-9640-21598428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Середня оцінка респондентами залежно від місця проживання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Block1!$A$72:$A$73</c:f>
              <c:strCache>
                <c:ptCount val="2"/>
                <c:pt idx="0">
                  <c:v>Середня оцінка місцевими респондентами</c:v>
                </c:pt>
                <c:pt idx="1">
                  <c:v>Середня оцінка респондентами, що проживають у іншому населеному пункті</c:v>
                </c:pt>
              </c:strCache>
            </c:strRef>
          </c:cat>
          <c:val>
            <c:numRef>
              <c:f>Block1!$F$72:$F$73</c:f>
              <c:numCache>
                <c:formatCode>0.00</c:formatCode>
                <c:ptCount val="2"/>
                <c:pt idx="0">
                  <c:v>4.5925925925925926</c:v>
                </c:pt>
                <c:pt idx="1">
                  <c:v>4.375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73-465A-91D3-2530CC83F8D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77408"/>
        <c:axId val="81778944"/>
      </c:barChart>
      <c:catAx>
        <c:axId val="817774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81778944"/>
        <c:crosses val="autoZero"/>
        <c:auto val="1"/>
        <c:lblAlgn val="ctr"/>
        <c:lblOffset val="100"/>
        <c:noMultiLvlLbl val="1"/>
      </c:catAx>
      <c:valAx>
        <c:axId val="81778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17774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рівня доходів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srv!$B$1:$B$6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3-49FD-A654-0D4B91E16D6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srv!$C$1:$C$6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23-49FD-A654-0D4B91E16D6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srv!$D$1:$D$6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23-49FD-A654-0D4B91E16D6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srv!$E$1:$E$6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23-49FD-A654-0D4B91E16D6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srv!$F$1:$F$6</c:f>
              <c:numCache>
                <c:formatCode>0.00</c:formatCode>
                <c:ptCount val="6"/>
                <c:pt idx="0">
                  <c:v>0</c:v>
                </c:pt>
                <c:pt idx="1">
                  <c:v>4.166666666666667</c:v>
                </c:pt>
                <c:pt idx="2">
                  <c:v>4.625</c:v>
                </c:pt>
                <c:pt idx="3">
                  <c:v>4.615384615384615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23-49FD-A654-0D4B91E16D6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0000"/>
        <c:axId val="81921536"/>
      </c:barChart>
      <c:catAx>
        <c:axId val="819200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81921536"/>
        <c:crosses val="autoZero"/>
        <c:auto val="1"/>
        <c:lblAlgn val="ctr"/>
        <c:lblOffset val="100"/>
        <c:noMultiLvlLbl val="1"/>
      </c:catAx>
      <c:valAx>
        <c:axId val="81921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19200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ролі в суді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srv!$A$7:$A$10</c:f>
              <c:strCache>
                <c:ptCount val="4"/>
                <c:pt idx="0">
                  <c:v>Респонденти, які представляють особисто себе</c:v>
                </c:pt>
                <c:pt idx="1">
                  <c:v>Респонденти, які представляють іншу особу</c:v>
                </c:pt>
                <c:pt idx="2">
                  <c:v>Респонденти, які не є учасниками судових проваджень</c:v>
                </c:pt>
                <c:pt idx="3">
                  <c:v>Інші респонденти</c:v>
                </c:pt>
              </c:strCache>
            </c:strRef>
          </c:cat>
          <c:val>
            <c:numRef>
              <c:f>srv!$F$7:$F$10</c:f>
              <c:numCache>
                <c:formatCode>0.00</c:formatCode>
                <c:ptCount val="4"/>
                <c:pt idx="0">
                  <c:v>4.375</c:v>
                </c:pt>
                <c:pt idx="1">
                  <c:v>5</c:v>
                </c:pt>
                <c:pt idx="2">
                  <c:v>4.4210526315789478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0-42D9-8209-F3774775097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34592"/>
        <c:axId val="81969152"/>
      </c:barChart>
      <c:catAx>
        <c:axId val="819345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81969152"/>
        <c:crosses val="autoZero"/>
        <c:auto val="1"/>
        <c:lblAlgn val="ctr"/>
        <c:lblOffset val="100"/>
        <c:noMultiLvlLbl val="1"/>
      </c:catAx>
      <c:valAx>
        <c:axId val="81969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1934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процесу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srv!$A$11:$A$15</c:f>
              <c:strCache>
                <c:ptCount val="5"/>
                <c:pt idx="0">
                  <c:v>Респонденти, що беруть участь у цивільних справах</c:v>
                </c:pt>
                <c:pt idx="1">
                  <c:v>Респонденти, що беруть участь у кримінальних справах</c:v>
                </c:pt>
                <c:pt idx="2">
                  <c:v>Респонденти, що беруть участь у адміністративних справах</c:v>
                </c:pt>
                <c:pt idx="3">
                  <c:v>Респонденти, що беруть участь у господарських справах</c:v>
                </c:pt>
                <c:pt idx="4">
                  <c:v>Респонденти, що беруть участь у справах про адміністративні правопорушення</c:v>
                </c:pt>
              </c:strCache>
            </c:strRef>
          </c:cat>
          <c:val>
            <c:numRef>
              <c:f>srv!$F$11:$F$15</c:f>
              <c:numCache>
                <c:formatCode>0.00</c:formatCode>
                <c:ptCount val="5"/>
                <c:pt idx="0">
                  <c:v>4.5999999999999996</c:v>
                </c:pt>
                <c:pt idx="1">
                  <c:v>0</c:v>
                </c:pt>
                <c:pt idx="2">
                  <c:v>4.333333333333333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6F-4EB3-9656-ED17D15765C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22176"/>
        <c:axId val="82323712"/>
      </c:barChart>
      <c:catAx>
        <c:axId val="823221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82323712"/>
        <c:crosses val="autoZero"/>
        <c:auto val="1"/>
        <c:lblAlgn val="ctr"/>
        <c:lblOffset val="100"/>
        <c:noMultiLvlLbl val="1"/>
      </c:catAx>
      <c:valAx>
        <c:axId val="82323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23221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Доступність суду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srv!$A$19:$A$27</c:f>
              <c:strCache>
                <c:ptCount val="9"/>
                <c:pt idx="0">
                  <c:v>Чи легко Вам було знайти будівлю суду?</c:v>
                </c:pt>
                <c:pt idx="1">
                  <c:v>Чи зручно Вам діставатися до будівлі суду громадським транспортом?</c:v>
                </c:pt>
                <c:pt idx="2">
                  <c:v>Чи зручно паркувати автомобіль (достатньо паркувальних місць) біля будівлі суду?</c:v>
                </c:pt>
                <c:pt idx="3">
                  <c:v>Чи зазнавали Ви перешкод у доступі до приміщень суду через охорону?</c:v>
                </c:pt>
                <c:pt idx="4">
                  <c:v>Чи можуть люди з обмеженими можливостями безперешкодно потрапити до приміщення суду і користуватися послугами суду?</c:v>
                </c:pt>
                <c:pt idx="5">
                  <c:v>Якщо Вам доводилося телефонувати до суду, чи завжди вдавалось додзвонитися?</c:v>
                </c:pt>
                <c:pt idx="6">
                  <c:v>Якщо Вам доводилося телефонувати до суду, чи завжди вдавалось отримати потрібну інформацію?</c:v>
                </c:pt>
                <c:pt idx="7">
                  <c:v>Чи давав графік роботи канцелярії суду можливість вчасно та безперешкодно вирішувати Ваші справи у суді</c:v>
                </c:pt>
                <c:pt idx="8">
                  <c:v>Чи могли б Ви собі дозволити витрати на послуги адвоката у разі необхідності?</c:v>
                </c:pt>
              </c:strCache>
            </c:strRef>
          </c:cat>
          <c:val>
            <c:numRef>
              <c:f>srv!$B$19:$B$27</c:f>
              <c:numCache>
                <c:formatCode>0.00</c:formatCode>
                <c:ptCount val="9"/>
                <c:pt idx="0">
                  <c:v>4.76</c:v>
                </c:pt>
                <c:pt idx="1">
                  <c:v>4.6388888888888893</c:v>
                </c:pt>
                <c:pt idx="2">
                  <c:v>4.7619047619047619</c:v>
                </c:pt>
                <c:pt idx="3">
                  <c:v>5</c:v>
                </c:pt>
                <c:pt idx="4">
                  <c:v>4.795918367346939</c:v>
                </c:pt>
                <c:pt idx="5">
                  <c:v>4.7435897435897436</c:v>
                </c:pt>
                <c:pt idx="6">
                  <c:v>4.7692307692307692</c:v>
                </c:pt>
                <c:pt idx="7">
                  <c:v>4.7777777777777777</c:v>
                </c:pt>
                <c:pt idx="8">
                  <c:v>3.3095238095238093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E-466A-AD90-DD9859605E6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90400"/>
        <c:axId val="69596288"/>
      </c:barChart>
      <c:catAx>
        <c:axId val="695904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69596288"/>
        <c:crosses val="autoZero"/>
        <c:auto val="1"/>
        <c:lblAlgn val="ctr"/>
        <c:lblOffset val="100"/>
        <c:noMultiLvlLbl val="1"/>
      </c:catAx>
      <c:valAx>
        <c:axId val="69596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95904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Зручність та комфортність перебування у суді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srv!$A$29:$A$32</c:f>
              <c:strCache>
                <c:ptCount val="4"/>
                <c:pt idx="0">
                  <c:v>достатність місць для очікування, оформлення документів, підготовки до засідання</c:v>
                </c:pt>
                <c:pt idx="1">
                  <c:v>вільний доступ до побутових приміщень (туалетів)</c:v>
                </c:pt>
                <c:pt idx="2">
                  <c:v>чистота та прибраність приміщень</c:v>
                </c:pt>
                <c:pt idx="3">
                  <c:v>достатність освітлення</c:v>
                </c:pt>
              </c:strCache>
            </c:strRef>
          </c:cat>
          <c:val>
            <c:numRef>
              <c:f>srv!$B$29:$B$32</c:f>
              <c:numCache>
                <c:formatCode>0.00</c:formatCode>
                <c:ptCount val="4"/>
                <c:pt idx="0">
                  <c:v>4.7</c:v>
                </c:pt>
                <c:pt idx="1">
                  <c:v>4.66</c:v>
                </c:pt>
                <c:pt idx="2">
                  <c:v>4.82</c:v>
                </c:pt>
                <c:pt idx="3">
                  <c:v>4.54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A-4DCD-8554-D904A79F472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21248"/>
        <c:axId val="69622784"/>
      </c:barChart>
      <c:catAx>
        <c:axId val="696212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69622784"/>
        <c:crosses val="autoZero"/>
        <c:auto val="1"/>
        <c:lblAlgn val="ctr"/>
        <c:lblOffset val="100"/>
        <c:noMultiLvlLbl val="1"/>
      </c:catAx>
      <c:valAx>
        <c:axId val="69622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962124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Повнота та ясність інформації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srv!$A$34:$A$40</c:f>
              <c:strCache>
                <c:ptCount val="7"/>
                <c:pt idx="0">
                  <c:v>Чи зручно у суді розташовані інформаційні стенди (дошки об’яв)?</c:v>
                </c:pt>
                <c:pt idx="1">
                  <c:v>Чи задовольняє Вас інформація щодо розташування кабінетів, залів судових засідань, інших приміщень</c:v>
                </c:pt>
                <c:pt idx="2">
                  <c:v>Чи задовольняє Вас інформація щодо правил допуску в суд та перебування в ньому</c:v>
                </c:pt>
                <c:pt idx="3">
                  <c:v>Чи задовольняє Вас інформація щодо справ, що призначені до розгляду</c:v>
                </c:pt>
                <c:pt idx="4">
                  <c:v>Чи задовольняє Вас інформація щодо зразків документів (заяв, клопотань тощо)</c:v>
                </c:pt>
                <c:pt idx="5">
                  <c:v>Чи задовольняє Вас інформація щодо порядку сплати судових зборів та мита, реквізити та розміри платежів</c:v>
                </c:pt>
                <c:pt idx="6">
                  <c:v>Чи знайшли Ви на сторінці суду потрібну для Вас інформацію?</c:v>
                </c:pt>
              </c:strCache>
            </c:strRef>
          </c:cat>
          <c:val>
            <c:numRef>
              <c:f>srv!$B$34:$B$40</c:f>
              <c:numCache>
                <c:formatCode>0.00</c:formatCode>
                <c:ptCount val="7"/>
                <c:pt idx="0">
                  <c:v>4.6938775510204085</c:v>
                </c:pt>
                <c:pt idx="1">
                  <c:v>4.6304347826086953</c:v>
                </c:pt>
                <c:pt idx="2">
                  <c:v>4.7346938775510203</c:v>
                </c:pt>
                <c:pt idx="3">
                  <c:v>4.7551020408163263</c:v>
                </c:pt>
                <c:pt idx="4">
                  <c:v>4.7551020408163263</c:v>
                </c:pt>
                <c:pt idx="5">
                  <c:v>4.8163265306122449</c:v>
                </c:pt>
                <c:pt idx="6">
                  <c:v>4.5357142857142856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69-4713-B191-7879BF3678B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7744"/>
        <c:axId val="69653632"/>
      </c:barChart>
      <c:catAx>
        <c:axId val="696477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69653632"/>
        <c:crosses val="autoZero"/>
        <c:auto val="1"/>
        <c:lblAlgn val="ctr"/>
        <c:lblOffset val="100"/>
        <c:noMultiLvlLbl val="1"/>
      </c:catAx>
      <c:valAx>
        <c:axId val="69653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96477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Сприйняття роботи працівників апарату суду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srv!$A$43:$A$47</c:f>
              <c:strCache>
                <c:ptCount val="5"/>
                <c:pt idx="0">
                  <c:v>Чи старанно працювали працівники суду?</c:v>
                </c:pt>
                <c:pt idx="1">
                  <c:v>Чи не припускалися працівники апарату суду помилок, які призводили б до перероблення документів та (або) порушення строків розгляду справ?</c:v>
                </c:pt>
                <c:pt idx="2">
                  <c:v>Чи виявили працівники апарату суду при спілкуванні з Вами доброзичливість, повагу, бажання допомогти</c:v>
                </c:pt>
                <c:pt idx="3">
                  <c:v>Чи виявили працівники апарату суду при спілкуванні з Вами однакове ставлення до всіх, незалежно від соціального статусу</c:v>
                </c:pt>
                <c:pt idx="4">
                  <c:v>Чи виявили працівники апарату суду при спілкуванні з Вами професіоналізм, знання своєї справи</c:v>
                </c:pt>
              </c:strCache>
            </c:strRef>
          </c:cat>
          <c:val>
            <c:numRef>
              <c:f>srv!$B$43:$B$47</c:f>
              <c:numCache>
                <c:formatCode>0.00</c:formatCode>
                <c:ptCount val="5"/>
                <c:pt idx="0">
                  <c:v>4.4827586206896548</c:v>
                </c:pt>
                <c:pt idx="1">
                  <c:v>4.5333333333333332</c:v>
                </c:pt>
                <c:pt idx="2">
                  <c:v>4.7666666666666666</c:v>
                </c:pt>
                <c:pt idx="3">
                  <c:v>4.9333333333333336</c:v>
                </c:pt>
                <c:pt idx="4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07-4795-986E-A2D9654F9F1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90880"/>
        <c:axId val="69692416"/>
      </c:barChart>
      <c:catAx>
        <c:axId val="696908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69692416"/>
        <c:crosses val="autoZero"/>
        <c:auto val="1"/>
        <c:lblAlgn val="ctr"/>
        <c:lblOffset val="100"/>
        <c:noMultiLvlLbl val="1"/>
      </c:catAx>
      <c:valAx>
        <c:axId val="696924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96908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Дотримання строків судового розгляду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716269841269841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Block2!$A$63:$A$66</c:f>
              <c:strCache>
                <c:ptCount val="4"/>
                <c:pt idx="0">
                  <c:v>Чи вчасно (відповідно до графіка) розпочалося останнє засідання по Вашій справі?</c:v>
                </c:pt>
                <c:pt idx="1">
                  <c:v>Чи було враховано Ваші побажання при призначенні дня та часу засідання?</c:v>
                </c:pt>
                <c:pt idx="2">
                  <c:v>Чи вчасно Ви отримували повістки та повідомлення про розгляд справи?</c:v>
                </c:pt>
                <c:pt idx="3">
                  <c:v>Чи вважаєте Ви обґрунтованими затримки/ перенесення слухань у розгляді Вашої справи?</c:v>
                </c:pt>
              </c:strCache>
            </c:strRef>
          </c:cat>
          <c:val>
            <c:numRef>
              <c:f>Block2!$H$63:$H$66</c:f>
              <c:numCache>
                <c:formatCode>0.00</c:formatCode>
                <c:ptCount val="4"/>
                <c:pt idx="0">
                  <c:v>4.166666666666667</c:v>
                </c:pt>
                <c:pt idx="1">
                  <c:v>4.2692307692307692</c:v>
                </c:pt>
                <c:pt idx="2">
                  <c:v>4.4137931034482758</c:v>
                </c:pt>
                <c:pt idx="3">
                  <c:v>4.3571428571428568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3-4F58-AF32-85D03D2A111E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21472"/>
        <c:axId val="82379904"/>
      </c:barChart>
      <c:catAx>
        <c:axId val="697214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82379904"/>
        <c:crosses val="autoZero"/>
        <c:auto val="1"/>
        <c:lblAlgn val="ctr"/>
        <c:lblOffset val="100"/>
        <c:noMultiLvlLbl val="1"/>
      </c:catAx>
      <c:valAx>
        <c:axId val="82379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97214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Сприйняття роботи судді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716269841269841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Block2!$A$74:$A$78</c:f>
              <c:strCache>
                <c:ptCount val="5"/>
                <c:pt idx="0">
                  <c:v>– неупередженість та незалежність (суддя не піддався зовнішньому тиску, якщо такий був)</c:v>
                </c:pt>
                <c:pt idx="1">
                  <c:v>– коректність, доброзичливість, ввічливість</c:v>
                </c:pt>
                <c:pt idx="2">
                  <c:v>– належна підготовка до справи та знання справи</c:v>
                </c:pt>
                <c:pt idx="3">
                  <c:v>– надання можливостей сторонам обґрунтовувати свою позицію</c:v>
                </c:pt>
                <c:pt idx="4">
                  <c:v>– дотримання процедури розгляду</c:v>
                </c:pt>
              </c:strCache>
            </c:strRef>
          </c:cat>
          <c:val>
            <c:numRef>
              <c:f>Block2!$H$74:$H$78</c:f>
              <c:numCache>
                <c:formatCode>0.00</c:formatCode>
                <c:ptCount val="5"/>
                <c:pt idx="0">
                  <c:v>4.9230769230769234</c:v>
                </c:pt>
                <c:pt idx="1">
                  <c:v>5</c:v>
                </c:pt>
                <c:pt idx="2">
                  <c:v>4.7037037037037033</c:v>
                </c:pt>
                <c:pt idx="3">
                  <c:v>4.9629629629629628</c:v>
                </c:pt>
                <c:pt idx="4">
                  <c:v>4.9615384615384617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8B-46FA-B027-C93E6E886C3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13056"/>
        <c:axId val="82414592"/>
      </c:barChart>
      <c:catAx>
        <c:axId val="824130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82414592"/>
        <c:crosses val="autoZero"/>
        <c:auto val="1"/>
        <c:lblAlgn val="ctr"/>
        <c:lblOffset val="100"/>
        <c:noMultiLvlLbl val="1"/>
      </c:catAx>
      <c:valAx>
        <c:axId val="82414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24130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Стать респондентів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91-4E0E-AAAF-8B2118728176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91-4E0E-AAAF-8B2118728176}"/>
              </c:ext>
            </c:extLst>
          </c:dPt>
          <c:cat>
            <c:strRef>
              <c:f>Block1!$E$6:$E$7</c:f>
              <c:strCache>
                <c:ptCount val="2"/>
                <c:pt idx="0">
                  <c:v>Чоловіча</c:v>
                </c:pt>
                <c:pt idx="1">
                  <c:v>Жіноча</c:v>
                </c:pt>
              </c:strCache>
            </c:strRef>
          </c:cat>
          <c:val>
            <c:numRef>
              <c:f>Block1!$F$6:$F$7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91-4E0E-AAAF-8B2118728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Розподіл респондентів за рівнем освіти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A4-456E-A893-1B949E1BE963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A4-456E-A893-1B949E1BE96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A4-456E-A893-1B949E1BE963}"/>
              </c:ext>
            </c:extLst>
          </c:dPt>
          <c:cat>
            <c:strRef>
              <c:f>Block1!$A$12:$A$14</c:f>
              <c:strCache>
                <c:ptCount val="3"/>
                <c:pt idx="0">
                  <c:v>Середня та неповна середня</c:v>
                </c:pt>
                <c:pt idx="1">
                  <c:v>Вища та неповна вища</c:v>
                </c:pt>
                <c:pt idx="2">
                  <c:v>Інше</c:v>
                </c:pt>
              </c:strCache>
            </c:strRef>
          </c:cat>
          <c:val>
            <c:numRef>
              <c:f>Block1!$B$12:$B$14</c:f>
              <c:numCache>
                <c:formatCode>General</c:formatCode>
                <c:ptCount val="3"/>
                <c:pt idx="0">
                  <c:v>23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A4-456E-A893-1B949E1B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Вища юридична освіта у респондентів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12-44CB-BA25-9BA7339E8D76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12-44CB-BA25-9BA7339E8D76}"/>
              </c:ext>
            </c:extLst>
          </c:dPt>
          <c:cat>
            <c:strRef>
              <c:f>Block1!$E$12:$E$13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Block1!$F$12:$F$13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12-44CB-BA25-9BA7339E8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Розподіл респондентів за матеріальним станом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EA-4CBE-BEF7-F16CFDA7E806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EA-4CBE-BEF7-F16CFDA7E80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EA-4CBE-BEF7-F16CFDA7E806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EA-4CBE-BEF7-F16CFDA7E806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3EA-4CBE-BEF7-F16CFDA7E806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3EA-4CBE-BEF7-F16CFDA7E806}"/>
              </c:ext>
            </c:extLst>
          </c:dPt>
          <c:cat>
            <c:strRef>
              <c:f>Block1!$A$21:$A$26</c:f>
              <c:strCache>
                <c:ptCount val="6"/>
                <c:pt idx="0">
                  <c:v>Змушені економити на харчуванні</c:v>
                </c:pt>
                <c:pt idx="1">
                  <c:v>Вистачає на харчування та необхідний одяг, взуття. Для таких покупок як гарний  костюм, мобільний телефон, пилосос необхідно заощадити або позичити</c:v>
                </c:pt>
                <c:pt idx="2">
                  <c:v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c:v>
                </c:pt>
                <c:pt idx="3">
                  <c:v>Вистачає на харчування, одяг, взуття, дорогі покупки. Для таких покупок як машина, квартира необхідно заощадити або позичити</c:v>
                </c:pt>
                <c:pt idx="4">
                  <c:v>Будь-які необхідні покупки можу зробити в будь-який час</c:v>
                </c:pt>
                <c:pt idx="5">
                  <c:v>Не відповіли</c:v>
                </c:pt>
              </c:strCache>
            </c:strRef>
          </c:cat>
          <c:val>
            <c:numRef>
              <c:f>Block1!$F$21:$F$26</c:f>
              <c:numCache>
                <c:formatCode>General</c:formatCode>
                <c:ptCount val="6"/>
                <c:pt idx="0">
                  <c:v>0</c:v>
                </c:pt>
                <c:pt idx="1">
                  <c:v>15</c:v>
                </c:pt>
                <c:pt idx="2">
                  <c:v>19</c:v>
                </c:pt>
                <c:pt idx="3">
                  <c:v>14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3EA-4CBE-BEF7-F16CFDA7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Розподіл респондентів за роллю в суді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78-420A-AD13-70A9B77A3B8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78-420A-AD13-70A9B77A3B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78-420A-AD13-70A9B77A3B8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78-420A-AD13-70A9B77A3B89}"/>
              </c:ext>
            </c:extLst>
          </c:dPt>
          <c:cat>
            <c:strRef>
              <c:f>Block1!$A$29:$A$32</c:f>
              <c:strCache>
                <c:ptCount val="4"/>
                <c:pt idx="0">
                  <c:v>Є учасником судових проваджень і представляєте особисто себе</c:v>
                </c:pt>
                <c:pt idx="1">
                  <c:v>Є учасником судових проваджень, але представляєте іншу фізичну чи юридичну особу (є адвокатом, представником прокуратури, юрист-консультантом)</c:v>
                </c:pt>
                <c:pt idx="2">
                  <c:v>Не є учасником судових проваджень</c:v>
                </c:pt>
                <c:pt idx="3">
                  <c:v>Інше</c:v>
                </c:pt>
              </c:strCache>
            </c:strRef>
          </c:cat>
          <c:val>
            <c:numRef>
              <c:f>Block1!$F$29:$F$32</c:f>
              <c:numCache>
                <c:formatCode>General</c:formatCode>
                <c:ptCount val="4"/>
                <c:pt idx="0">
                  <c:v>18</c:v>
                </c:pt>
                <c:pt idx="1">
                  <c:v>8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78-420A-AD13-70A9B77A3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Середня оцінка респондентами залежно від віку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Block1!$A$61:$A$64</c:f>
              <c:strCache>
                <c:ptCount val="4"/>
                <c:pt idx="0">
                  <c:v>Середня оцінка респонентами віком 18-25 років</c:v>
                </c:pt>
                <c:pt idx="1">
                  <c:v>Середня оцінка респонентами віком 26–39 років</c:v>
                </c:pt>
                <c:pt idx="2">
                  <c:v>Середня оцінка респонентами віком 40–59 років</c:v>
                </c:pt>
                <c:pt idx="3">
                  <c:v>Середня оцінка респонентами віком 60 років і старше</c:v>
                </c:pt>
              </c:strCache>
            </c:strRef>
          </c:cat>
          <c:val>
            <c:numRef>
              <c:f>Block1!$F$61:$F$64</c:f>
              <c:numCache>
                <c:formatCode>0.00</c:formatCode>
                <c:ptCount val="4"/>
                <c:pt idx="0">
                  <c:v>4.4615384615384617</c:v>
                </c:pt>
                <c:pt idx="1">
                  <c:v>4.4736842105263159</c:v>
                </c:pt>
                <c:pt idx="2">
                  <c:v>4.7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44-4F98-966E-1E2682C9801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3728"/>
        <c:axId val="81995264"/>
      </c:barChart>
      <c:catAx>
        <c:axId val="819937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81995264"/>
        <c:crosses val="autoZero"/>
        <c:auto val="1"/>
        <c:lblAlgn val="ctr"/>
        <c:lblOffset val="100"/>
        <c:noMultiLvlLbl val="1"/>
      </c:catAx>
      <c:valAx>
        <c:axId val="81995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19937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Середня оцінка респондентами залежно від статі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Block1!$A$65:$A$66</c:f>
              <c:strCache>
                <c:ptCount val="2"/>
                <c:pt idx="0">
                  <c:v>Середня оцінка жінками</c:v>
                </c:pt>
                <c:pt idx="1">
                  <c:v>Середня оцінка чоловіками</c:v>
                </c:pt>
              </c:strCache>
            </c:strRef>
          </c:cat>
          <c:val>
            <c:numRef>
              <c:f>Block1!$F$65:$F$66</c:f>
              <c:numCache>
                <c:formatCode>0.00</c:formatCode>
                <c:ptCount val="2"/>
                <c:pt idx="0">
                  <c:v>4.5238095238095237</c:v>
                </c:pt>
                <c:pt idx="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EB-4EBC-8101-735D5CC361E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6992"/>
        <c:axId val="82046976"/>
      </c:barChart>
      <c:catAx>
        <c:axId val="820369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82046976"/>
        <c:crosses val="autoZero"/>
        <c:auto val="1"/>
        <c:lblAlgn val="ctr"/>
        <c:lblOffset val="100"/>
        <c:noMultiLvlLbl val="1"/>
      </c:catAx>
      <c:valAx>
        <c:axId val="82046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20369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uk-UA"/>
              <a:t>Середня оцінка респондентами залежно від освіти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Block1!$A$67:$A$71</c:f>
              <c:strCache>
                <c:ptCount val="5"/>
                <c:pt idx="0">
                  <c:v>Середня оцінка респондентами з середньою та неповною середньою освітою </c:v>
                </c:pt>
                <c:pt idx="1">
                  <c:v>Середня оцінка респондентами з вищою та неповною вищою освітою </c:v>
                </c:pt>
                <c:pt idx="2">
                  <c:v>Середня оцінка респондентами, які мають іншу освіту </c:v>
                </c:pt>
                <c:pt idx="3">
                  <c:v>Середня оцінка респондентами, які мають вищу юридичну освіту</c:v>
                </c:pt>
                <c:pt idx="4">
                  <c:v>Середня оцінка респондентами, які не мають вищої юридичної освіти</c:v>
                </c:pt>
              </c:strCache>
            </c:strRef>
          </c:cat>
          <c:val>
            <c:numRef>
              <c:f>Block1!$F$67:$F$71</c:f>
              <c:numCache>
                <c:formatCode>0.00</c:formatCode>
                <c:ptCount val="5"/>
                <c:pt idx="0">
                  <c:v>4.3157894736842106</c:v>
                </c:pt>
                <c:pt idx="1">
                  <c:v>4.666666666666667</c:v>
                </c:pt>
                <c:pt idx="2">
                  <c:v>0</c:v>
                </c:pt>
                <c:pt idx="3">
                  <c:v>4.6363636363636367</c:v>
                </c:pt>
                <c:pt idx="4">
                  <c:v>4.3809523809523814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6-4E9B-84BB-56F09C548BA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9792"/>
        <c:axId val="81756160"/>
      </c:barChart>
      <c:catAx>
        <c:axId val="817297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81756160"/>
        <c:crosses val="autoZero"/>
        <c:auto val="1"/>
        <c:lblAlgn val="ctr"/>
        <c:lblOffset val="100"/>
        <c:noMultiLvlLbl val="1"/>
      </c:catAx>
      <c:valAx>
        <c:axId val="817561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81729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5715000" cy="3533775"/>
    <xdr:graphicFrame macro="">
      <xdr:nvGraphicFramePr>
        <xdr:cNvPr id="2" name="Chart 1" title="Діаграма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152400</xdr:colOff>
      <xdr:row>0</xdr:row>
      <xdr:rowOff>104775</xdr:rowOff>
    </xdr:from>
    <xdr:ext cx="5715000" cy="3533775"/>
    <xdr:graphicFrame macro="">
      <xdr:nvGraphicFramePr>
        <xdr:cNvPr id="3" name="Chart 2" title="Діаграма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66675</xdr:colOff>
      <xdr:row>18</xdr:row>
      <xdr:rowOff>142875</xdr:rowOff>
    </xdr:from>
    <xdr:ext cx="5734050" cy="3543300"/>
    <xdr:graphicFrame macro="">
      <xdr:nvGraphicFramePr>
        <xdr:cNvPr id="4" name="Chart 3" title="Діаграма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152400</xdr:colOff>
      <xdr:row>18</xdr:row>
      <xdr:rowOff>142875</xdr:rowOff>
    </xdr:from>
    <xdr:ext cx="5715000" cy="3543300"/>
    <xdr:graphicFrame macro="">
      <xdr:nvGraphicFramePr>
        <xdr:cNvPr id="5" name="Chart 4" title="Діаграма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66675</xdr:colOff>
      <xdr:row>37</xdr:row>
      <xdr:rowOff>104775</xdr:rowOff>
    </xdr:from>
    <xdr:ext cx="5715000" cy="3543300"/>
    <xdr:graphicFrame macro="">
      <xdr:nvGraphicFramePr>
        <xdr:cNvPr id="6" name="Chart 5" title="Діаграма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6</xdr:col>
      <xdr:colOff>161925</xdr:colOff>
      <xdr:row>37</xdr:row>
      <xdr:rowOff>95250</xdr:rowOff>
    </xdr:from>
    <xdr:ext cx="5715000" cy="3543300"/>
    <xdr:graphicFrame macro="">
      <xdr:nvGraphicFramePr>
        <xdr:cNvPr id="7" name="Chart 6" title="Діаграма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76200</xdr:colOff>
      <xdr:row>55</xdr:row>
      <xdr:rowOff>161925</xdr:rowOff>
    </xdr:from>
    <xdr:ext cx="5686425" cy="3533775"/>
    <xdr:graphicFrame macro="">
      <xdr:nvGraphicFramePr>
        <xdr:cNvPr id="8" name="Chart 7" title="Діаграма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161925</xdr:colOff>
      <xdr:row>55</xdr:row>
      <xdr:rowOff>171450</xdr:rowOff>
    </xdr:from>
    <xdr:ext cx="5686425" cy="3533775"/>
    <xdr:graphicFrame macro="">
      <xdr:nvGraphicFramePr>
        <xdr:cNvPr id="9" name="Chart 8" title="Діаграма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85725</xdr:colOff>
      <xdr:row>74</xdr:row>
      <xdr:rowOff>28575</xdr:rowOff>
    </xdr:from>
    <xdr:ext cx="5686425" cy="3533775"/>
    <xdr:graphicFrame macro="">
      <xdr:nvGraphicFramePr>
        <xdr:cNvPr id="10" name="Chart 9" title="Діаграма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6</xdr:col>
      <xdr:colOff>152400</xdr:colOff>
      <xdr:row>74</xdr:row>
      <xdr:rowOff>38100</xdr:rowOff>
    </xdr:from>
    <xdr:ext cx="5686425" cy="3533775"/>
    <xdr:graphicFrame macro="">
      <xdr:nvGraphicFramePr>
        <xdr:cNvPr id="11" name="Chart 10" title="Діаграма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0</xdr:col>
      <xdr:colOff>66675</xdr:colOff>
      <xdr:row>92</xdr:row>
      <xdr:rowOff>95250</xdr:rowOff>
    </xdr:from>
    <xdr:ext cx="5686425" cy="3533775"/>
    <xdr:graphicFrame macro="">
      <xdr:nvGraphicFramePr>
        <xdr:cNvPr id="12" name="Chart 11" title="Діаграма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0</xdr:col>
      <xdr:colOff>66675</xdr:colOff>
      <xdr:row>110</xdr:row>
      <xdr:rowOff>152400</xdr:rowOff>
    </xdr:from>
    <xdr:ext cx="5686425" cy="3533775"/>
    <xdr:graphicFrame macro="">
      <xdr:nvGraphicFramePr>
        <xdr:cNvPr id="13" name="Chart 12" title="Діаграма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6</xdr:col>
      <xdr:colOff>152400</xdr:colOff>
      <xdr:row>92</xdr:row>
      <xdr:rowOff>104775</xdr:rowOff>
    </xdr:from>
    <xdr:ext cx="5686425" cy="3533775"/>
    <xdr:graphicFrame macro="">
      <xdr:nvGraphicFramePr>
        <xdr:cNvPr id="14" name="Chart 13" title="Діаграма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10144125" cy="4800600"/>
    <xdr:graphicFrame macro="">
      <xdr:nvGraphicFramePr>
        <xdr:cNvPr id="14" name="Chart 14" title="Діаграма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47625</xdr:colOff>
      <xdr:row>27</xdr:row>
      <xdr:rowOff>57150</xdr:rowOff>
    </xdr:from>
    <xdr:ext cx="10144125" cy="4800600"/>
    <xdr:graphicFrame macro="">
      <xdr:nvGraphicFramePr>
        <xdr:cNvPr id="15" name="Chart 15" title="Діаграма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47625</xdr:colOff>
      <xdr:row>54</xdr:row>
      <xdr:rowOff>57150</xdr:rowOff>
    </xdr:from>
    <xdr:ext cx="10144125" cy="4800600"/>
    <xdr:graphicFrame macro="">
      <xdr:nvGraphicFramePr>
        <xdr:cNvPr id="16" name="Chart 16" title="Діаграма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47625</xdr:colOff>
      <xdr:row>80</xdr:row>
      <xdr:rowOff>57150</xdr:rowOff>
    </xdr:from>
    <xdr:ext cx="10144125" cy="4800600"/>
    <xdr:graphicFrame macro="">
      <xdr:nvGraphicFramePr>
        <xdr:cNvPr id="17" name="Chart 17" title="Діаграма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47625</xdr:colOff>
      <xdr:row>107</xdr:row>
      <xdr:rowOff>57150</xdr:rowOff>
    </xdr:from>
    <xdr:ext cx="10144125" cy="4800600"/>
    <xdr:graphicFrame macro="">
      <xdr:nvGraphicFramePr>
        <xdr:cNvPr id="18" name="Chart 18" title="Діаграма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47625</xdr:colOff>
      <xdr:row>133</xdr:row>
      <xdr:rowOff>57150</xdr:rowOff>
    </xdr:from>
    <xdr:ext cx="10144125" cy="4800600"/>
    <xdr:graphicFrame macro="">
      <xdr:nvGraphicFramePr>
        <xdr:cNvPr id="19" name="Chart 19" title="Діаграма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19"/>
  <sheetViews>
    <sheetView tabSelected="1" topLeftCell="A64" workbookViewId="0">
      <selection activeCell="O81" sqref="O81"/>
    </sheetView>
  </sheetViews>
  <sheetFormatPr defaultColWidth="14.42578125" defaultRowHeight="15.75" customHeight="1" x14ac:dyDescent="0.2"/>
  <cols>
    <col min="1" max="1" width="4.42578125" customWidth="1"/>
    <col min="2" max="2" width="50.7109375" customWidth="1"/>
    <col min="3" max="3" width="12.28515625" customWidth="1"/>
    <col min="4" max="4" width="10.5703125" customWidth="1"/>
    <col min="5" max="6" width="8.5703125" customWidth="1"/>
    <col min="7" max="7" width="9.28515625" customWidth="1"/>
    <col min="8" max="8" width="8.7109375" customWidth="1"/>
    <col min="9" max="9" width="9.140625" customWidth="1"/>
    <col min="10" max="10" width="10.7109375" customWidth="1"/>
  </cols>
  <sheetData>
    <row r="1" spans="1:30" ht="15.75" customHeight="1" x14ac:dyDescent="0.25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75" customHeight="1" x14ac:dyDescent="0.3">
      <c r="A2" s="8"/>
      <c r="B2" s="10" t="s">
        <v>1</v>
      </c>
      <c r="C2" s="12"/>
      <c r="D2" s="16">
        <f>COUNT(Data!$A$2:$A$500)</f>
        <v>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18"/>
      <c r="B3" s="149" t="s">
        <v>8</v>
      </c>
      <c r="C3" s="136"/>
      <c r="D3" s="13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21"/>
      <c r="B4" s="22" t="s">
        <v>7</v>
      </c>
      <c r="C4" s="23">
        <f>COUNTIF(Data!B$2:B$300,"18–25 років")</f>
        <v>15</v>
      </c>
      <c r="D4" s="24">
        <f>C4/COUNT(Data!$A$2:$A$500)</f>
        <v>0.3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5">
      <c r="A5" s="21"/>
      <c r="B5" s="22" t="s">
        <v>10</v>
      </c>
      <c r="C5" s="23">
        <f>COUNTIF(Data!B$2:B$300,"26–39 років")</f>
        <v>22</v>
      </c>
      <c r="D5" s="24">
        <f>C5/COUNT(Data!$A$2:$A$500)</f>
        <v>0.44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5">
      <c r="A6" s="21"/>
      <c r="B6" s="22" t="s">
        <v>12</v>
      </c>
      <c r="C6" s="23">
        <f>COUNTIF(Data!B$2:B$300,"40–59 років")</f>
        <v>12</v>
      </c>
      <c r="D6" s="24">
        <f>C6/COUNT(Data!$A$2:$A$500)</f>
        <v>0.24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21"/>
      <c r="B7" s="22" t="s">
        <v>13</v>
      </c>
      <c r="C7" s="23">
        <f>COUNTIF(Data!B$2:B$300,"60 років і старше")</f>
        <v>1</v>
      </c>
      <c r="D7" s="24">
        <f>C7/COUNT(Data!$A$2:$A$500)</f>
        <v>0.02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5">
      <c r="A8" s="28"/>
      <c r="B8" s="147" t="s">
        <v>17</v>
      </c>
      <c r="C8" s="136"/>
      <c r="D8" s="13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A9" s="21"/>
      <c r="B9" s="22" t="s">
        <v>9</v>
      </c>
      <c r="C9" s="23">
        <f>COUNTIF(Data!C$2:C$500,"Чоловіча")</f>
        <v>25</v>
      </c>
      <c r="D9" s="24">
        <f>C9/COUNT(Data!$A$2:$A$500)</f>
        <v>0.5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A10" s="21"/>
      <c r="B10" s="22" t="s">
        <v>11</v>
      </c>
      <c r="C10" s="23">
        <f>COUNTIF(Data!C$2:C$500,"Жіноча")</f>
        <v>25</v>
      </c>
      <c r="D10" s="24">
        <f>C10/COUNT(Data!$A$2:$A$500)</f>
        <v>0.5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28"/>
      <c r="B11" s="147" t="s">
        <v>21</v>
      </c>
      <c r="C11" s="136"/>
      <c r="D11" s="13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31.5" x14ac:dyDescent="0.25">
      <c r="A12" s="29"/>
      <c r="B12" s="30" t="s">
        <v>22</v>
      </c>
      <c r="C12" s="23">
        <f>COUNTIF(Data!F$2:F$300,"В населеному пункті, де розташований цей суд")</f>
        <v>30</v>
      </c>
      <c r="D12" s="24">
        <f>C12/COUNT(Data!$A$2:$A$500)</f>
        <v>0.6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5">
      <c r="A13" s="29"/>
      <c r="B13" s="30" t="s">
        <v>26</v>
      </c>
      <c r="C13" s="23">
        <f>COUNTIF(Data!F$2:F$300,"В іншому населеному пункті")</f>
        <v>20</v>
      </c>
      <c r="D13" s="24">
        <f>C13/COUNT(Data!$A$2:$A$500)</f>
        <v>0.4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28"/>
      <c r="B14" s="147" t="s">
        <v>27</v>
      </c>
      <c r="C14" s="136"/>
      <c r="D14" s="13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29"/>
      <c r="B15" s="30" t="s">
        <v>28</v>
      </c>
      <c r="C15" s="23">
        <f>COUNTIF(Data!G$2:G$300,"Змушені економити на харчуванні")</f>
        <v>0</v>
      </c>
      <c r="D15" s="24">
        <f>C15/COUNT(Data!$A$2:$A$500)</f>
        <v>0</v>
      </c>
      <c r="E15" s="5"/>
      <c r="F15" s="5"/>
      <c r="L15" s="4"/>
      <c r="M15" s="4"/>
      <c r="N15" s="4"/>
      <c r="O15" s="4"/>
      <c r="P15" s="4"/>
      <c r="Q15" s="4"/>
      <c r="R15" s="4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63" x14ac:dyDescent="0.25">
      <c r="A16" s="29"/>
      <c r="B16" s="30" t="s">
        <v>29</v>
      </c>
      <c r="C16" s="23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15</v>
      </c>
      <c r="D16" s="24">
        <f>C16/COUNT(Data!$A$2:$A$500)</f>
        <v>0.3</v>
      </c>
      <c r="E16" s="5"/>
      <c r="F16" s="5"/>
      <c r="L16" s="4"/>
      <c r="M16" s="4"/>
      <c r="N16" s="4"/>
      <c r="O16" s="4"/>
      <c r="P16" s="4"/>
      <c r="Q16" s="4"/>
      <c r="R16" s="4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78.75" x14ac:dyDescent="0.25">
      <c r="A17" s="29"/>
      <c r="B17" s="30" t="s">
        <v>31</v>
      </c>
      <c r="C17" s="23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19</v>
      </c>
      <c r="D17" s="24">
        <f>C17/COUNT(Data!$A$2:$A$500)</f>
        <v>0.38</v>
      </c>
      <c r="E17" s="5"/>
      <c r="F17" s="5"/>
      <c r="L17" s="4"/>
      <c r="M17" s="4"/>
      <c r="N17" s="4"/>
      <c r="O17" s="4"/>
      <c r="P17" s="4"/>
      <c r="Q17" s="4"/>
      <c r="R17" s="4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47.25" x14ac:dyDescent="0.25">
      <c r="A18" s="29"/>
      <c r="B18" s="30" t="s">
        <v>32</v>
      </c>
      <c r="C18" s="23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14</v>
      </c>
      <c r="D18" s="24">
        <f>C18/COUNT(Data!$A$2:$A$500)</f>
        <v>0.28000000000000003</v>
      </c>
      <c r="E18" s="5"/>
      <c r="F18" s="5"/>
      <c r="L18" s="4"/>
      <c r="M18" s="4"/>
      <c r="N18" s="4"/>
      <c r="O18" s="4"/>
      <c r="P18" s="4"/>
      <c r="Q18" s="4"/>
      <c r="R18" s="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31.5" x14ac:dyDescent="0.25">
      <c r="A19" s="29"/>
      <c r="B19" s="30" t="s">
        <v>33</v>
      </c>
      <c r="C19" s="23">
        <f>COUNTIF(Data!G$2:G$300,"Будь-які необхідні покупки можу зробити в будь-який час")</f>
        <v>0</v>
      </c>
      <c r="D19" s="24">
        <f>C19/COUNT(Data!$A$2:$A$500)</f>
        <v>0</v>
      </c>
      <c r="E19" s="5"/>
      <c r="F19" s="5"/>
      <c r="L19" s="4"/>
      <c r="M19" s="4"/>
      <c r="N19" s="4"/>
      <c r="O19" s="4"/>
      <c r="P19" s="4"/>
      <c r="Q19" s="4"/>
      <c r="R19" s="4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29"/>
      <c r="B20" s="30" t="s">
        <v>34</v>
      </c>
      <c r="C20" s="23">
        <f>COUNTIF(Data!G$2:G$300,"КН (код невідповіді)")</f>
        <v>2</v>
      </c>
      <c r="D20" s="24">
        <f>C20/COUNT(Data!$A$2:$A$500)</f>
        <v>0.04</v>
      </c>
      <c r="E20" s="5"/>
      <c r="F20" s="5"/>
      <c r="L20" s="4"/>
      <c r="M20" s="4"/>
      <c r="N20" s="4"/>
      <c r="O20" s="4"/>
      <c r="P20" s="4"/>
      <c r="Q20" s="4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28"/>
      <c r="B21" s="147" t="s">
        <v>35</v>
      </c>
      <c r="C21" s="136"/>
      <c r="D21" s="13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33"/>
      <c r="B22" s="34" t="s">
        <v>16</v>
      </c>
      <c r="C22" s="23">
        <f>COUNTIF(Data!D$2:D$300,"Середня та неповна середня")</f>
        <v>23</v>
      </c>
      <c r="D22" s="24">
        <f>C22/COUNT(Data!$A$2:$A$500)</f>
        <v>0.46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25">
      <c r="A23" s="33"/>
      <c r="B23" s="34" t="s">
        <v>19</v>
      </c>
      <c r="C23" s="23">
        <f>COUNTIF(Data!D$2:D$300,"Вища та неповна вища")</f>
        <v>27</v>
      </c>
      <c r="D23" s="24">
        <f>C23/COUNT(Data!$A$2:$A$500)</f>
        <v>0.54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33"/>
      <c r="B24" s="34" t="s">
        <v>23</v>
      </c>
      <c r="C24" s="23">
        <f>COUNTIF(Data!D$2:D$300,"Інше (вкажіть)")</f>
        <v>0</v>
      </c>
      <c r="D24" s="24">
        <f>C24/COUNT(Data!$A$2:$A$500)</f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25">
      <c r="A25" s="28"/>
      <c r="B25" s="147" t="s">
        <v>37</v>
      </c>
      <c r="C25" s="136"/>
      <c r="D25" s="13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31.5" x14ac:dyDescent="0.25">
      <c r="A26" s="29"/>
      <c r="B26" s="30" t="s">
        <v>38</v>
      </c>
      <c r="C26" s="23">
        <f>COUNTIF(Data!H$2:H$500,"Є учасником судових проваджень і представляєте особисто себе")</f>
        <v>18</v>
      </c>
      <c r="D26" s="24">
        <f>C26/COUNT(Data!$A$2:$A$500)</f>
        <v>0.36</v>
      </c>
      <c r="E26" s="5"/>
      <c r="F26" s="5"/>
    </row>
    <row r="27" spans="1:30" ht="63" x14ac:dyDescent="0.25">
      <c r="A27" s="29"/>
      <c r="B27" s="30" t="s">
        <v>40</v>
      </c>
      <c r="C27" s="23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8</v>
      </c>
      <c r="D27" s="24">
        <f>C27/COUNT(Data!$A$2:$A$500)</f>
        <v>0.16</v>
      </c>
      <c r="E27" s="5"/>
      <c r="F27" s="5"/>
    </row>
    <row r="28" spans="1:30" x14ac:dyDescent="0.25">
      <c r="A28" s="29"/>
      <c r="B28" s="30" t="s">
        <v>41</v>
      </c>
      <c r="C28" s="23">
        <f>COUNTIF(Data!H$2:H$500,"Не є учасником судових проваджень")</f>
        <v>24</v>
      </c>
      <c r="D28" s="24">
        <f>C28/COUNT(Data!$A$2:$A$500)</f>
        <v>0.48</v>
      </c>
      <c r="E28" s="5"/>
      <c r="F28" s="5"/>
    </row>
    <row r="29" spans="1:30" x14ac:dyDescent="0.25">
      <c r="A29" s="29"/>
      <c r="B29" s="30" t="s">
        <v>23</v>
      </c>
      <c r="C29" s="23">
        <f>COUNTIF(Data!H$2:H$500,"Інше")</f>
        <v>0</v>
      </c>
      <c r="D29" s="24">
        <f>C29/COUNT(Data!$A$2:$A$500)</f>
        <v>0</v>
      </c>
      <c r="E29" s="5"/>
      <c r="F29" s="5"/>
    </row>
    <row r="30" spans="1:30" x14ac:dyDescent="0.25">
      <c r="A30" s="28"/>
      <c r="B30" s="147" t="s">
        <v>42</v>
      </c>
      <c r="C30" s="136"/>
      <c r="D30" s="137"/>
      <c r="F30" s="5"/>
      <c r="G30" s="5"/>
      <c r="H30" s="5"/>
      <c r="I30" s="5"/>
      <c r="J30" s="5"/>
      <c r="K30" s="5"/>
    </row>
    <row r="31" spans="1:30" x14ac:dyDescent="0.25">
      <c r="A31" s="29"/>
      <c r="B31" s="30" t="s">
        <v>43</v>
      </c>
      <c r="C31" s="23">
        <f>COUNTIF(Data!I$2:I$500,"Цивільний процес")</f>
        <v>22</v>
      </c>
      <c r="D31" s="24">
        <f>C31/COUNT(Data!$A$2:$A$500)</f>
        <v>0.44</v>
      </c>
      <c r="F31" s="5"/>
      <c r="G31" s="5"/>
      <c r="H31" s="5"/>
      <c r="I31" s="5"/>
      <c r="J31" s="5"/>
      <c r="K31" s="5"/>
    </row>
    <row r="32" spans="1:30" x14ac:dyDescent="0.25">
      <c r="A32" s="29"/>
      <c r="B32" s="30" t="s">
        <v>44</v>
      </c>
      <c r="C32" s="23">
        <f>COUNTIF(Data!I$2:I$500,"Кримінальний процес")</f>
        <v>1</v>
      </c>
      <c r="D32" s="24">
        <f>C32/COUNT(Data!$A$2:$A$500)</f>
        <v>0.02</v>
      </c>
      <c r="F32" s="5"/>
      <c r="G32" s="5"/>
      <c r="H32" s="5"/>
      <c r="I32" s="5"/>
      <c r="J32" s="5"/>
      <c r="K32" s="5"/>
    </row>
    <row r="33" spans="1:30" x14ac:dyDescent="0.25">
      <c r="A33" s="36"/>
      <c r="B33" s="38" t="s">
        <v>46</v>
      </c>
      <c r="C33" s="23">
        <f>COUNTIF(Data!I$2:I$500,"Адміністративний процес")</f>
        <v>3</v>
      </c>
      <c r="D33" s="24">
        <f>C33/COUNT(Data!$A$2:$A$500)</f>
        <v>0.06</v>
      </c>
      <c r="F33" s="5"/>
      <c r="G33" s="5"/>
      <c r="H33" s="5"/>
      <c r="I33" s="5"/>
      <c r="J33" s="5"/>
      <c r="K33" s="5"/>
    </row>
    <row r="34" spans="1:30" x14ac:dyDescent="0.25">
      <c r="A34" s="36"/>
      <c r="B34" s="38" t="s">
        <v>48</v>
      </c>
      <c r="C34" s="23">
        <f>COUNTIF(Data!I$2:I$500,"Господарський процес")</f>
        <v>0</v>
      </c>
      <c r="D34" s="24">
        <f>C34/COUNT(Data!$A$2:$A$500)</f>
        <v>0</v>
      </c>
      <c r="F34" s="5"/>
      <c r="G34" s="5"/>
      <c r="H34" s="5"/>
      <c r="I34" s="5"/>
      <c r="J34" s="5"/>
      <c r="K34" s="5"/>
    </row>
    <row r="35" spans="1:30" x14ac:dyDescent="0.25">
      <c r="A35" s="36"/>
      <c r="B35" s="38" t="s">
        <v>49</v>
      </c>
      <c r="C35" s="23">
        <f>COUNTIF(Data!I$2:I$500,"Справа про адміністративні  правопорушення")</f>
        <v>2</v>
      </c>
      <c r="D35" s="24">
        <f>C35/COUNT(Data!$A$2:$A$500)</f>
        <v>0.04</v>
      </c>
      <c r="F35" s="5"/>
      <c r="G35" s="5"/>
      <c r="H35" s="5"/>
      <c r="I35" s="5"/>
      <c r="J35" s="5"/>
      <c r="K35" s="5"/>
    </row>
    <row r="36" spans="1:30" x14ac:dyDescent="0.25">
      <c r="A36" s="28"/>
      <c r="B36" s="147" t="s">
        <v>51</v>
      </c>
      <c r="C36" s="136"/>
      <c r="D36" s="137"/>
      <c r="F36" s="5"/>
      <c r="G36" s="5"/>
      <c r="H36" s="5"/>
      <c r="I36" s="5"/>
      <c r="J36" s="5"/>
      <c r="K36" s="5"/>
    </row>
    <row r="37" spans="1:30" x14ac:dyDescent="0.25">
      <c r="A37" s="42"/>
      <c r="B37" s="43" t="s">
        <v>50</v>
      </c>
      <c r="C37" s="23">
        <f>COUNTIF(Data!J$2:J$500,"Розгляд справи ще не розпочато")</f>
        <v>2</v>
      </c>
      <c r="D37" s="24">
        <f>C37/COUNT(Data!$A$2:$A$500)</f>
        <v>0.04</v>
      </c>
      <c r="F37" s="5"/>
      <c r="G37" s="5"/>
      <c r="H37" s="5"/>
      <c r="I37" s="5"/>
      <c r="J37" s="5"/>
      <c r="K37" s="5"/>
    </row>
    <row r="38" spans="1:30" x14ac:dyDescent="0.25">
      <c r="A38" s="42"/>
      <c r="B38" s="43" t="s">
        <v>52</v>
      </c>
      <c r="C38" s="23">
        <f>COUNTIF(Data!J$2:J$500,"Справа перебуває в процесі розгляду")</f>
        <v>19</v>
      </c>
      <c r="D38" s="24">
        <f>C38/COUNT(Data!$A$2:$A$500)</f>
        <v>0.38</v>
      </c>
      <c r="F38" s="5"/>
      <c r="G38" s="5"/>
      <c r="H38" s="5"/>
      <c r="I38" s="5"/>
      <c r="J38" s="5"/>
      <c r="K38" s="5"/>
    </row>
    <row r="39" spans="1:30" x14ac:dyDescent="0.25">
      <c r="A39" s="42"/>
      <c r="B39" s="43" t="s">
        <v>53</v>
      </c>
      <c r="C39" s="23">
        <f>COUNTIF(Data!J$2:J$500,"Розгляд справи завершено (винесено рішення)")</f>
        <v>7</v>
      </c>
      <c r="D39" s="24">
        <f>C39/COUNT(Data!$A$2:$A$500)</f>
        <v>0.14000000000000001</v>
      </c>
      <c r="F39" s="5"/>
      <c r="G39" s="5"/>
      <c r="H39" s="5"/>
      <c r="I39" s="5"/>
      <c r="J39" s="5"/>
      <c r="K39" s="5"/>
    </row>
    <row r="40" spans="1:30" x14ac:dyDescent="0.25">
      <c r="A40" s="42"/>
      <c r="B40" s="43" t="s">
        <v>23</v>
      </c>
      <c r="C40" s="23">
        <f>COUNTIF(Data!J$2:J$500,"Інше")</f>
        <v>22</v>
      </c>
      <c r="D40" s="24">
        <f>C40/COUNT(Data!$A$2:$A$500)</f>
        <v>0.44</v>
      </c>
      <c r="F40" s="5"/>
      <c r="G40" s="5"/>
      <c r="H40" s="5"/>
      <c r="I40" s="5"/>
      <c r="J40" s="5"/>
      <c r="K40" s="25"/>
    </row>
    <row r="41" spans="1:30" ht="15" x14ac:dyDescent="0.25">
      <c r="A41" s="4"/>
      <c r="B41" s="4"/>
      <c r="C41" s="4"/>
      <c r="D41" s="4"/>
      <c r="E41" s="4"/>
      <c r="F41" s="5"/>
      <c r="G41" s="5"/>
      <c r="H41" s="5"/>
      <c r="I41" s="5"/>
      <c r="J41" s="5"/>
      <c r="K41" s="25"/>
      <c r="L41" s="4"/>
      <c r="M41" s="4"/>
      <c r="N41" s="4"/>
      <c r="O41" s="4"/>
      <c r="P41" s="4"/>
      <c r="Q41" s="4"/>
      <c r="R41" s="4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8.75" x14ac:dyDescent="0.3">
      <c r="A42" s="45"/>
      <c r="B42" s="45"/>
      <c r="C42" s="4"/>
      <c r="D42" s="4"/>
      <c r="E42" s="4"/>
      <c r="F42" s="5"/>
      <c r="G42" s="5"/>
      <c r="H42" s="5"/>
      <c r="I42" s="5"/>
      <c r="J42" s="5"/>
      <c r="K42" s="25"/>
      <c r="L42" s="4"/>
      <c r="M42" s="4"/>
      <c r="N42" s="4"/>
      <c r="O42" s="4"/>
      <c r="P42" s="4"/>
      <c r="Q42" s="4"/>
      <c r="R42" s="4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8.75" x14ac:dyDescent="0.3">
      <c r="A43" s="45"/>
      <c r="B43" s="45" t="s">
        <v>54</v>
      </c>
      <c r="C43" s="4"/>
      <c r="D43" s="4"/>
      <c r="E43" s="4"/>
      <c r="F43" s="5"/>
      <c r="G43" s="5"/>
      <c r="H43" s="5"/>
      <c r="I43" s="5"/>
      <c r="J43" s="5"/>
      <c r="K43" s="25"/>
      <c r="L43" s="4"/>
      <c r="M43" s="4"/>
      <c r="N43" s="4"/>
      <c r="O43" s="4"/>
      <c r="P43" s="4"/>
      <c r="Q43" s="4"/>
      <c r="R43" s="4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63" x14ac:dyDescent="0.25">
      <c r="A44" s="46" t="s">
        <v>55</v>
      </c>
      <c r="B44" s="46" t="s">
        <v>56</v>
      </c>
      <c r="C44" s="46" t="s">
        <v>1</v>
      </c>
      <c r="D44" s="46" t="s">
        <v>57</v>
      </c>
      <c r="E44" s="46">
        <v>2</v>
      </c>
      <c r="F44" s="46">
        <v>3</v>
      </c>
      <c r="G44" s="47">
        <v>4</v>
      </c>
      <c r="H44" s="47">
        <v>5</v>
      </c>
      <c r="I44" s="48" t="s">
        <v>34</v>
      </c>
      <c r="J44" s="48" t="s">
        <v>58</v>
      </c>
      <c r="K44" s="5"/>
      <c r="L44" s="4"/>
      <c r="M44" s="4"/>
      <c r="N44" s="4"/>
      <c r="O44" s="4"/>
      <c r="P44" s="4"/>
      <c r="Q44" s="4"/>
      <c r="R44" s="4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49">
        <v>1</v>
      </c>
      <c r="B45" s="50" t="s">
        <v>59</v>
      </c>
      <c r="C45" s="23">
        <f>COUNTIF(Data!B$2:B$300,"18–25 років")</f>
        <v>15</v>
      </c>
      <c r="D45" s="49">
        <f>COUNTIFS(Data!$B$2:$B$500,"18–25 років",Data!$M$2:$M$500,1)</f>
        <v>0</v>
      </c>
      <c r="E45" s="49">
        <f>COUNTIFS(Data!$B$2:$B$500,"18–25 років",Data!$M$2:$M$500,2)</f>
        <v>0</v>
      </c>
      <c r="F45" s="49">
        <f>COUNTIFS(Data!$B$2:$B$500,"18–25 років",Data!$M$2:$M$500,3)</f>
        <v>0</v>
      </c>
      <c r="G45" s="49">
        <f>COUNTIFS(Data!$B$2:$B$500,"18–25 років",Data!$M$2:$M$500,4)</f>
        <v>7</v>
      </c>
      <c r="H45" s="49">
        <f>COUNTIFS(Data!$B$2:$B$500,"18–25 років",Data!$M$2:$M$500,5)</f>
        <v>6</v>
      </c>
      <c r="I45" s="49">
        <f>COUNTIFS(Data!$B$2:$B$500,"18–25 років",Data!$M$2:$M$500,9)</f>
        <v>2</v>
      </c>
      <c r="J45" s="54">
        <f t="shared" ref="J45:J71" si="0">((H45*5)+(G45*4)+(F45*3)+(E45*2)+(D45*1))/SUM(D45:H45)</f>
        <v>4.4615384615384617</v>
      </c>
      <c r="K45" s="5"/>
      <c r="M45" s="4"/>
      <c r="N45" s="4"/>
      <c r="O45" s="4"/>
      <c r="P45" s="4"/>
      <c r="Q45" s="4"/>
      <c r="R45" s="4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49">
        <v>2</v>
      </c>
      <c r="B46" s="50" t="s">
        <v>63</v>
      </c>
      <c r="C46" s="23">
        <f>COUNTIF(Data!B$2:B$300,"26–39 років")</f>
        <v>22</v>
      </c>
      <c r="D46" s="49">
        <f>COUNTIFS(Data!$B$2:$B$500,"26–39 років",Data!$M$2:$M$500,1)</f>
        <v>0</v>
      </c>
      <c r="E46" s="49">
        <f>COUNTIFS(Data!$B$2:$B$500,"26–39 років",Data!$M$2:$M$500,2)</f>
        <v>0</v>
      </c>
      <c r="F46" s="49">
        <f>COUNTIFS(Data!$B$2:$B$500,"26–39 років",Data!$M$2:$M$500,3)</f>
        <v>0</v>
      </c>
      <c r="G46" s="49">
        <f>COUNTIFS(Data!$B$2:$B$500,"26–39 років",Data!$M$2:$M$500,4)</f>
        <v>10</v>
      </c>
      <c r="H46" s="49">
        <f>COUNTIFS(Data!$B$2:$B$500,"26–39 років",Data!$M$2:$M$500,5)</f>
        <v>9</v>
      </c>
      <c r="I46" s="49">
        <f>COUNTIFS(Data!$B$2:$B$500,"26–39 років",Data!$M$2:$M$500,9)</f>
        <v>3</v>
      </c>
      <c r="J46" s="54">
        <f t="shared" si="0"/>
        <v>4.4736842105263159</v>
      </c>
      <c r="K46" s="28"/>
      <c r="L46" s="56"/>
      <c r="M46" s="4"/>
      <c r="N46" s="4"/>
      <c r="O46" s="4"/>
      <c r="P46" s="4"/>
      <c r="Q46" s="4"/>
      <c r="R46" s="4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49">
        <v>3</v>
      </c>
      <c r="B47" s="50" t="s">
        <v>67</v>
      </c>
      <c r="C47" s="23">
        <f>COUNTIF(Data!B$2:B$300,"40–59 років")</f>
        <v>12</v>
      </c>
      <c r="D47" s="49">
        <f>COUNTIFS(Data!$B$2:$B$500,"40–59 років",Data!$M$2:$M$500,1)</f>
        <v>0</v>
      </c>
      <c r="E47" s="49">
        <f>COUNTIFS(Data!$B$2:$B$500,"40–59 років",Data!$M$2:$M$500,2)</f>
        <v>0</v>
      </c>
      <c r="F47" s="49">
        <f>COUNTIFS(Data!$B$2:$B$500,"40–59 років",Data!$M$2:$M$500,3)</f>
        <v>0</v>
      </c>
      <c r="G47" s="49">
        <f>COUNTIFS(Data!$B$2:$B$500,"40–59 років",Data!$M$2:$M$500,4)</f>
        <v>3</v>
      </c>
      <c r="H47" s="49">
        <f>COUNTIFS(Data!$B$2:$B$500,"40–59 років",Data!$M$2:$M$500,5)</f>
        <v>7</v>
      </c>
      <c r="I47" s="49">
        <f>COUNTIFS(Data!$B$2:$B$500,"40–59 років",Data!$M$2:$M$500,9)</f>
        <v>2</v>
      </c>
      <c r="J47" s="54">
        <f t="shared" si="0"/>
        <v>4.7</v>
      </c>
      <c r="K47" s="28"/>
      <c r="L47" s="56"/>
      <c r="M47" s="4"/>
      <c r="N47" s="4"/>
      <c r="O47" s="4"/>
      <c r="P47" s="4"/>
      <c r="Q47" s="4"/>
      <c r="R47" s="4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49">
        <v>4</v>
      </c>
      <c r="B48" s="50" t="s">
        <v>68</v>
      </c>
      <c r="C48" s="23">
        <f>COUNTIF(Data!B$2:B$300,"60 років і старше")</f>
        <v>1</v>
      </c>
      <c r="D48" s="49">
        <f>COUNTIFS(Data!$B$2:$B$500,"60 років і старше",Data!$M$2:$M$500,1)</f>
        <v>0</v>
      </c>
      <c r="E48" s="49">
        <f>COUNTIFS(Data!$B$2:$B$500,"60 років і старше",Data!$M$2:$M$500,2)</f>
        <v>0</v>
      </c>
      <c r="F48" s="49">
        <f>COUNTIFS(Data!$B$2:$B$500,"60 років і старше",Data!$M$2:$M$500,3)</f>
        <v>0</v>
      </c>
      <c r="G48" s="49">
        <f>COUNTIFS(Data!$B$2:$B$500,"60 років і старше",Data!$M$2:$M$500,4)</f>
        <v>1</v>
      </c>
      <c r="H48" s="49">
        <f>COUNTIFS(Data!$B$2:$B$500,"60 років і старше",Data!$M$2:$M$500,5)</f>
        <v>0</v>
      </c>
      <c r="I48" s="49">
        <f>COUNTIFS(Data!$B$2:$B$500,"60 років і старше",Data!$M$2:$M$500,9)</f>
        <v>0</v>
      </c>
      <c r="J48" s="54">
        <f t="shared" si="0"/>
        <v>4</v>
      </c>
      <c r="K48" s="28"/>
      <c r="L48" s="56"/>
      <c r="M48" s="4"/>
      <c r="N48" s="4"/>
      <c r="O48" s="4"/>
      <c r="P48" s="4"/>
      <c r="Q48" s="4"/>
      <c r="R48" s="4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49">
        <v>5</v>
      </c>
      <c r="B49" s="50" t="s">
        <v>70</v>
      </c>
      <c r="C49" s="23">
        <f>COUNTIF(Data!C$2:C$300,"Чоловіча")</f>
        <v>25</v>
      </c>
      <c r="D49" s="49">
        <f>COUNTIFS(Data!$C$2:$C$500,"Чоловіча",Data!$M$2:$M$500,1)</f>
        <v>0</v>
      </c>
      <c r="E49" s="49">
        <f>COUNTIFS(Data!$C$2:$C$500,"Чоловіча",Data!$M$2:$M$500,2)</f>
        <v>0</v>
      </c>
      <c r="F49" s="49">
        <f>COUNTIFS(Data!$C$2:$C$500,"Чоловіча",Data!$M$2:$M$500,3)</f>
        <v>0</v>
      </c>
      <c r="G49" s="49">
        <f>COUNTIFS(Data!$C$2:$C$500,"Чоловіча",Data!$M$2:$M$500,4)</f>
        <v>11</v>
      </c>
      <c r="H49" s="49">
        <f>COUNTIFS(Data!$C$2:$C$500,"Чоловіча",Data!$M$2:$M$500,5)</f>
        <v>11</v>
      </c>
      <c r="I49" s="49">
        <f>COUNTIFS(Data!$C$2:$C$500,"Чоловіча",Data!$M$2:$M$500,9)</f>
        <v>3</v>
      </c>
      <c r="J49" s="54">
        <f t="shared" si="0"/>
        <v>4.5</v>
      </c>
      <c r="K49" s="28"/>
      <c r="L49" s="56"/>
      <c r="M49" s="4"/>
      <c r="N49" s="4"/>
      <c r="O49" s="4"/>
      <c r="P49" s="4"/>
      <c r="Q49" s="4"/>
      <c r="R49" s="4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49">
        <v>6</v>
      </c>
      <c r="B50" s="50" t="s">
        <v>71</v>
      </c>
      <c r="C50" s="23">
        <f>COUNTIF(Data!C$2:C$300,"Жіноча")</f>
        <v>25</v>
      </c>
      <c r="D50" s="49">
        <f>COUNTIFS(Data!$C$2:$C$500,"Жіноча",Data!$M$2:$M$500,1)</f>
        <v>0</v>
      </c>
      <c r="E50" s="49">
        <f>COUNTIFS(Data!$C$2:$C$500,"Жіноча",Data!$M$2:$M$500,2)</f>
        <v>0</v>
      </c>
      <c r="F50" s="49">
        <f>COUNTIFS(Data!$C$2:$C$500,"Жіноча",Data!$M$2:$M$500,3)</f>
        <v>0</v>
      </c>
      <c r="G50" s="49">
        <f>COUNTIFS(Data!$C$2:$C$500,"Жіноча",Data!$M$2:$M$500,4)</f>
        <v>10</v>
      </c>
      <c r="H50" s="49">
        <f>COUNTIFS(Data!$C$2:$C$500,"Жіноча",Data!$M$2:$M$500,5)</f>
        <v>11</v>
      </c>
      <c r="I50" s="49">
        <f>COUNTIFS(Data!$C$2:$C$500,"Жіноча",Data!$M$2:$M$500,9)</f>
        <v>4</v>
      </c>
      <c r="J50" s="54">
        <f t="shared" si="0"/>
        <v>4.5238095238095237</v>
      </c>
      <c r="K50" s="28"/>
      <c r="L50" s="56"/>
      <c r="M50" s="4"/>
      <c r="N50" s="4"/>
      <c r="O50" s="4"/>
      <c r="P50" s="4"/>
      <c r="Q50" s="4"/>
      <c r="R50" s="4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30.75" x14ac:dyDescent="0.25">
      <c r="A51" s="49">
        <v>7</v>
      </c>
      <c r="B51" s="50" t="s">
        <v>74</v>
      </c>
      <c r="C51" s="23">
        <f>COUNTIF(Data!D$2:D$300,"Середня та неповна середня")</f>
        <v>23</v>
      </c>
      <c r="D51" s="49">
        <f>COUNTIFS(Data!$D$2:$D$500,"Середня та неповна середня",Data!$M$2:$M$500,1)</f>
        <v>0</v>
      </c>
      <c r="E51" s="49">
        <f>COUNTIFS(Data!$D$2:$D$500,"Середня та неповна середня",Data!$M$2:$M$500,2)</f>
        <v>0</v>
      </c>
      <c r="F51" s="49">
        <f>COUNTIFS(Data!$D$2:$D$500,"Середня та неповна середня",Data!$M$2:$M$500,3)</f>
        <v>0</v>
      </c>
      <c r="G51" s="49">
        <f>COUNTIFS(Data!$D$2:$D$500,"Середня та неповна середня",Data!$M$2:$M$500,4)</f>
        <v>13</v>
      </c>
      <c r="H51" s="49">
        <f>COUNTIFS(Data!$D$2:$D$500,"Середня та неповна середня",Data!$M$2:$M$500,5)</f>
        <v>6</v>
      </c>
      <c r="I51" s="49">
        <f>COUNTIFS(Data!$D$2:$D$500,"Середня та неповна середня",Data!$M$2:$M$500,9)</f>
        <v>4</v>
      </c>
      <c r="J51" s="54">
        <f t="shared" si="0"/>
        <v>4.3157894736842106</v>
      </c>
      <c r="K51" s="28"/>
      <c r="L51" s="56"/>
      <c r="M51" s="4"/>
      <c r="N51" s="4"/>
      <c r="O51" s="4"/>
      <c r="P51" s="4"/>
      <c r="Q51" s="4"/>
      <c r="R51" s="4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30.75" x14ac:dyDescent="0.25">
      <c r="A52" s="49">
        <v>8</v>
      </c>
      <c r="B52" s="50" t="s">
        <v>75</v>
      </c>
      <c r="C52" s="23">
        <f>COUNTIF(Data!D$2:D$300,"Вища та неповна вища")</f>
        <v>27</v>
      </c>
      <c r="D52" s="49">
        <f>COUNTIFS(Data!$D$2:$D$500,"Вища та неповна вища",Data!$M$2:$M$500,1)</f>
        <v>0</v>
      </c>
      <c r="E52" s="49">
        <f>COUNTIFS(Data!$D$2:$D$500,"Вища та неповна вища",Data!$M$2:$M$500,2)</f>
        <v>0</v>
      </c>
      <c r="F52" s="49">
        <f>COUNTIFS(Data!$D$2:$D$500,"Вища та неповна вища",Data!$M$2:$M$500,3)</f>
        <v>0</v>
      </c>
      <c r="G52" s="49">
        <f>COUNTIFS(Data!$D$2:$D$500,"Вища та неповна вища",Data!$M$2:$M$500,4)</f>
        <v>8</v>
      </c>
      <c r="H52" s="49">
        <f>COUNTIFS(Data!$D$2:$D$500,"Вища та неповна вища",Data!$M$2:$M$500,5)</f>
        <v>16</v>
      </c>
      <c r="I52" s="49">
        <f>COUNTIFS(Data!$D$2:$D$500,"Вища та неповна вища",Data!$M$2:$M$500,9)</f>
        <v>3</v>
      </c>
      <c r="J52" s="54">
        <f t="shared" si="0"/>
        <v>4.666666666666667</v>
      </c>
      <c r="K52" s="28"/>
      <c r="L52" s="56"/>
      <c r="M52" s="4"/>
      <c r="N52" s="4"/>
      <c r="O52" s="4"/>
      <c r="P52" s="4"/>
      <c r="Q52" s="4"/>
      <c r="R52" s="4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5">
      <c r="A53" s="49">
        <v>9</v>
      </c>
      <c r="B53" s="50" t="s">
        <v>77</v>
      </c>
      <c r="C53" s="23">
        <f>COUNTIF(Data!D$2:D$300,"Інше (вкажіть)")</f>
        <v>0</v>
      </c>
      <c r="D53" s="49">
        <f>COUNTIFS(Data!$D$2:$D$500,"Інше (вкажіть)",Data!$M$2:$M$500,1)</f>
        <v>0</v>
      </c>
      <c r="E53" s="49">
        <f>COUNTIFS(Data!$D$2:$D$500,"Інше (вкажіть)",Data!$M$2:$M$500,2)</f>
        <v>0</v>
      </c>
      <c r="F53" s="49">
        <f>COUNTIFS(Data!$D$2:$D$500,"Інше (вкажіть)",Data!$M$2:$M$500,3)</f>
        <v>0</v>
      </c>
      <c r="G53" s="49">
        <f>COUNTIFS(Data!$D$2:$D$500,"Інше (вкажіть)",Data!$M$2:$M$500,4)</f>
        <v>0</v>
      </c>
      <c r="H53" s="49">
        <f>COUNTIFS(Data!$D$2:$D$500,"Інше (вкажіть)",Data!$M$2:$M$500,5)</f>
        <v>0</v>
      </c>
      <c r="I53" s="49">
        <f>COUNTIFS(Data!$D$2:$D$500,"Інше (вкажіть)",Data!$M$2:$M$500,9)</f>
        <v>0</v>
      </c>
      <c r="J53" s="54" t="e">
        <f t="shared" si="0"/>
        <v>#DIV/0!</v>
      </c>
      <c r="K53" s="28"/>
      <c r="L53" s="56"/>
      <c r="M53" s="4"/>
      <c r="N53" s="4"/>
      <c r="O53" s="4"/>
      <c r="P53" s="4"/>
      <c r="Q53" s="4"/>
      <c r="R53" s="4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5">
      <c r="A54" s="49">
        <v>10</v>
      </c>
      <c r="B54" s="50" t="s">
        <v>79</v>
      </c>
      <c r="C54" s="23">
        <f>COUNTIF(Data!F$2:F$300,"В населеному пункті, де розташований цей суд")</f>
        <v>30</v>
      </c>
      <c r="D54" s="49">
        <f>COUNTIFS(Data!$F$2:$F$500,"В населеному пункті, де розташований цей суд",Data!$M$2:$M$500,1)</f>
        <v>0</v>
      </c>
      <c r="E54" s="49">
        <f>COUNTIFS(Data!$F$2:$F$500,"В населеному пункті, де розташований цей суд",Data!$M$2:$M$500,2)</f>
        <v>0</v>
      </c>
      <c r="F54" s="49">
        <f>COUNTIFS(Data!$F$2:$F$500,"В населеному пункті, де розташований цей суд",Data!$M$2:$M$500,3)</f>
        <v>0</v>
      </c>
      <c r="G54" s="49">
        <f>COUNTIFS(Data!$F$2:$F$500,"В населеному пункті, де розташований цей суд",Data!$M$2:$M$500,4)</f>
        <v>11</v>
      </c>
      <c r="H54" s="49">
        <f>COUNTIFS(Data!$F$2:$F$500,"В населеному пункті, де розташований цей суд",Data!$M$2:$M$500,5)</f>
        <v>16</v>
      </c>
      <c r="I54" s="49">
        <f>COUNTIFS(Data!$F$2:$F$500,"В населеному пункті, де розташований цей суд",Data!$M$2:$M$500,9)</f>
        <v>3</v>
      </c>
      <c r="J54" s="54">
        <f t="shared" si="0"/>
        <v>4.5925925925925926</v>
      </c>
      <c r="K54" s="28"/>
      <c r="L54" s="56"/>
      <c r="M54" s="4"/>
      <c r="N54" s="4"/>
      <c r="O54" s="4"/>
      <c r="P54" s="4"/>
      <c r="Q54" s="4"/>
      <c r="R54" s="4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30.75" x14ac:dyDescent="0.25">
      <c r="A55" s="49">
        <v>11</v>
      </c>
      <c r="B55" s="50" t="s">
        <v>81</v>
      </c>
      <c r="C55" s="23">
        <f>COUNTIF(Data!F$2:F$300,"В іншому населеному пункті")</f>
        <v>20</v>
      </c>
      <c r="D55" s="49">
        <f>COUNTIFS(Data!$F$2:$F$500,"В іншому населеному пункті",Data!$M$2:$M$500,1)</f>
        <v>0</v>
      </c>
      <c r="E55" s="49">
        <f>COUNTIFS(Data!$F$2:$F$500,"В іншому населеному пункті",Data!$M$2:$M$500,2)</f>
        <v>0</v>
      </c>
      <c r="F55" s="49">
        <f>COUNTIFS(Data!$F$2:$F$500,"В іншому населеному пункті",Data!$M$2:$M$500,3)</f>
        <v>0</v>
      </c>
      <c r="G55" s="49">
        <f>COUNTIFS(Data!$F$2:$F$500,"В іншому населеному пункті",Data!$M$2:$M$500,4)</f>
        <v>10</v>
      </c>
      <c r="H55" s="49">
        <f>COUNTIFS(Data!$F$2:$F$500,"В іншому населеному пункті",Data!$M$2:$M$500,5)</f>
        <v>6</v>
      </c>
      <c r="I55" s="49">
        <f>COUNTIFS(Data!$F$2:$F$500,"В іншому населеному пункті",Data!$M$2:$M$500,9)</f>
        <v>4</v>
      </c>
      <c r="J55" s="54">
        <f t="shared" si="0"/>
        <v>4.375</v>
      </c>
      <c r="K55" s="28"/>
      <c r="L55" s="56"/>
      <c r="M55" s="4"/>
      <c r="N55" s="4"/>
      <c r="O55" s="4"/>
      <c r="P55" s="4"/>
      <c r="Q55" s="4"/>
      <c r="R55" s="4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30.75" x14ac:dyDescent="0.25">
      <c r="A56" s="49">
        <v>12</v>
      </c>
      <c r="B56" s="50" t="s">
        <v>82</v>
      </c>
      <c r="C56" s="23">
        <f>COUNTIF(Data!G$2:G$300,"Змушені економити на харчуванні")</f>
        <v>0</v>
      </c>
      <c r="D56" s="49">
        <f>COUNTIFS(Data!$G$2:$G$500,"Змушені економити на харчуванні",Data!$M$2:$M$500,1)</f>
        <v>0</v>
      </c>
      <c r="E56" s="49">
        <f>COUNTIFS(Data!$G$2:$G$500,"Змушені економити на харчуванні",Data!$M$2:$M$500,2)</f>
        <v>0</v>
      </c>
      <c r="F56" s="49">
        <f>COUNTIFS(Data!$G$2:$G$500,"Змушені економити на харчуванні",Data!$M$2:$M$500,3)</f>
        <v>0</v>
      </c>
      <c r="G56" s="49">
        <f>COUNTIFS(Data!$G$2:$G$500,"Змушені економити на харчуванні",Data!$M$2:$M$500,4)</f>
        <v>0</v>
      </c>
      <c r="H56" s="49">
        <f>COUNTIFS(Data!$G$2:$G$500,"Змушені економити на харчуванні",Data!$M$2:$M$500,5)</f>
        <v>0</v>
      </c>
      <c r="I56" s="49">
        <f>COUNTIFS(Data!$G$2:$G$500,"Змушені економити на харчуванні",Data!$M$2:$M$500,9)</f>
        <v>0</v>
      </c>
      <c r="J56" s="54" t="e">
        <f t="shared" si="0"/>
        <v>#DIV/0!</v>
      </c>
      <c r="K56" s="28"/>
      <c r="L56" s="56"/>
      <c r="M56" s="4"/>
      <c r="N56" s="4"/>
      <c r="O56" s="4"/>
      <c r="P56" s="4"/>
      <c r="Q56" s="4"/>
      <c r="R56" s="4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60.75" x14ac:dyDescent="0.25">
      <c r="A57" s="49">
        <v>13</v>
      </c>
      <c r="B57" s="50" t="s">
        <v>84</v>
      </c>
      <c r="C57" s="23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15</v>
      </c>
      <c r="D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позичити",Data!$M$2:$M$500,1)</f>
        <v>0</v>
      </c>
      <c r="E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позичити",Data!$M$2:$M$500,2)</f>
        <v>0</v>
      </c>
      <c r="F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позичити",Data!$M$2:$M$500,3)</f>
        <v>0</v>
      </c>
      <c r="G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позичити",Data!$M$2:$M$500,4)</f>
        <v>10</v>
      </c>
      <c r="H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позичити",Data!$M$2:$M$500,5)</f>
        <v>2</v>
      </c>
      <c r="I57" s="49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позичити",Data!$M$2:$M$500,9)</f>
        <v>3</v>
      </c>
      <c r="J57" s="54">
        <f t="shared" si="0"/>
        <v>4.166666666666667</v>
      </c>
      <c r="K57" s="28"/>
      <c r="L57" s="56"/>
      <c r="M57" s="4"/>
      <c r="N57" s="4"/>
      <c r="O57" s="4"/>
      <c r="P57" s="4"/>
      <c r="Q57" s="4"/>
      <c r="R57" s="4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75.75" x14ac:dyDescent="0.25">
      <c r="A58" s="49">
        <v>14</v>
      </c>
      <c r="B58" s="50" t="s">
        <v>86</v>
      </c>
      <c r="C58" s="23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19</v>
      </c>
      <c r="D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позичити",Data!$M$2:$M$500,1)</f>
        <v>0</v>
      </c>
      <c r="E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позичити",Data!$M$2:$M$500,2)</f>
        <v>0</v>
      </c>
      <c r="F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позичити",Data!$M$2:$M$500,3)</f>
        <v>0</v>
      </c>
      <c r="G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позичити",Data!$M$2:$M$500,4)</f>
        <v>6</v>
      </c>
      <c r="H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позичити",Data!$M$2:$M$500,5)</f>
        <v>10</v>
      </c>
      <c r="I58" s="49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позичити",Data!$M$2:$M$500,9)</f>
        <v>3</v>
      </c>
      <c r="J58" s="54">
        <f t="shared" si="0"/>
        <v>4.625</v>
      </c>
      <c r="K58" s="28"/>
      <c r="L58" s="56"/>
      <c r="M58" s="4"/>
      <c r="N58" s="4"/>
      <c r="O58" s="4"/>
      <c r="P58" s="4"/>
      <c r="Q58" s="4"/>
      <c r="R58" s="4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60.75" x14ac:dyDescent="0.25">
      <c r="A59" s="49">
        <v>15</v>
      </c>
      <c r="B59" s="50" t="s">
        <v>88</v>
      </c>
      <c r="C59" s="23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14</v>
      </c>
      <c r="D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позичити",Data!$M$2:$M$500,1)</f>
        <v>0</v>
      </c>
      <c r="E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позичити",Data!$M$2:$M$500,2)</f>
        <v>0</v>
      </c>
      <c r="F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позичити",Data!$M$2:$M$500,3)</f>
        <v>0</v>
      </c>
      <c r="G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позичити",Data!$M$2:$M$500,4)</f>
        <v>5</v>
      </c>
      <c r="H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позичити",Data!$M$2:$M$500,5)</f>
        <v>8</v>
      </c>
      <c r="I59" s="49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позичити",Data!$M$2:$M$500,9)</f>
        <v>1</v>
      </c>
      <c r="J59" s="54">
        <f t="shared" si="0"/>
        <v>4.615384615384615</v>
      </c>
      <c r="K59" s="28"/>
      <c r="L59" s="56"/>
      <c r="M59" s="4"/>
      <c r="N59" s="4"/>
      <c r="O59" s="4"/>
      <c r="P59" s="4"/>
      <c r="Q59" s="4"/>
      <c r="R59" s="4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30.75" x14ac:dyDescent="0.25">
      <c r="A60" s="49">
        <v>16</v>
      </c>
      <c r="B60" s="50" t="s">
        <v>90</v>
      </c>
      <c r="C60" s="23">
        <f>COUNTIF(Data!G$2:G$300,"Будь-які необхідні покупки можу зробити в будь-який час")</f>
        <v>0</v>
      </c>
      <c r="D60" s="49">
        <f>COUNTIFS(Data!$G$2:$G$500,"Будь-які необхідні покупки можу зробити в будь-який час",Data!$M$2:$M$500,1)</f>
        <v>0</v>
      </c>
      <c r="E60" s="49">
        <f>COUNTIFS(Data!$G$2:$G$500,"Будь-які необхідні покупки можу зробити в будь-який час",Data!$M$2:$M$500,2)</f>
        <v>0</v>
      </c>
      <c r="F60" s="49">
        <f>COUNTIFS(Data!$G$2:$G$500,"Будь-які необхідні покупки можу зробити в будь-який час",Data!$M$2:$M$500,3)</f>
        <v>0</v>
      </c>
      <c r="G60" s="49">
        <f>COUNTIFS(Data!$G$2:$G$500,"Будь-які необхідні покупки можу зробити в будь-який час",Data!$M$2:$M$500,4)</f>
        <v>0</v>
      </c>
      <c r="H60" s="49">
        <f>COUNTIFS(Data!$G$2:$G$500,"Будь-які необхідні покупки можу зробити в будь-який час",Data!$M$2:$M$500,5)</f>
        <v>0</v>
      </c>
      <c r="I60" s="49">
        <f>COUNTIFS(Data!$G$2:$G$500,"Будь-які необхідні покупки можу зробити в будь-який час",Data!$M$2:$M$500,9)</f>
        <v>0</v>
      </c>
      <c r="J60" s="54" t="e">
        <f t="shared" si="0"/>
        <v>#DIV/0!</v>
      </c>
      <c r="K60" s="28"/>
      <c r="L60" s="56"/>
      <c r="M60" s="4"/>
      <c r="N60" s="4"/>
      <c r="O60" s="4"/>
      <c r="P60" s="4"/>
      <c r="Q60" s="4"/>
      <c r="R60" s="4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30.75" x14ac:dyDescent="0.25">
      <c r="A61" s="49">
        <v>17</v>
      </c>
      <c r="B61" s="50" t="s">
        <v>91</v>
      </c>
      <c r="C61" s="23">
        <f>COUNTIF(Data!G$2:G$300,"КН (код невідповіді)")</f>
        <v>2</v>
      </c>
      <c r="D61" s="49">
        <f>COUNTIFS(Data!$G$2:$G$500,"КН (код невідповіді)",Data!$M$2:$M$500,1)</f>
        <v>0</v>
      </c>
      <c r="E61" s="49">
        <f>COUNTIFS(Data!$G$2:$G$500,"КН (код невідповіді)",Data!$M$2:$M$500,2)</f>
        <v>0</v>
      </c>
      <c r="F61" s="49">
        <f>COUNTIFS(Data!$G$2:$G$500,"КН (код невідповіді)",Data!$M$2:$M$500,3)</f>
        <v>0</v>
      </c>
      <c r="G61" s="49">
        <f>COUNTIFS(Data!$G$2:$G$500,"КН (код невідповіді)",Data!$M$2:$M$500,4)</f>
        <v>0</v>
      </c>
      <c r="H61" s="49">
        <f>COUNTIFS(Data!$G$2:$G$500,"КН (код невідповіді)",Data!$M$2:$M$500,5)</f>
        <v>2</v>
      </c>
      <c r="I61" s="49">
        <f>COUNTIFS(Data!$G$2:$G$500,"КН (код невідповіді)",Data!$M$2:$M$500,9)</f>
        <v>0</v>
      </c>
      <c r="J61" s="54">
        <f t="shared" si="0"/>
        <v>5</v>
      </c>
      <c r="K61" s="28"/>
      <c r="L61" s="56"/>
      <c r="M61" s="4"/>
      <c r="N61" s="4"/>
      <c r="O61" s="4"/>
      <c r="P61" s="4"/>
      <c r="Q61" s="4"/>
      <c r="R61" s="4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30.75" x14ac:dyDescent="0.25">
      <c r="A62" s="49">
        <v>18</v>
      </c>
      <c r="B62" s="50" t="s">
        <v>93</v>
      </c>
      <c r="C62" s="23">
        <f>COUNTIF(Data!H$2:H$300,"Є учасником судових проваджень і представляєте особисто себе")</f>
        <v>18</v>
      </c>
      <c r="D62" s="49">
        <f>COUNTIFS(Data!$H$2:$H$500,"Є учасником судових проваджень і представляєте особисто себе",Data!$M$2:$M$500,1)</f>
        <v>0</v>
      </c>
      <c r="E62" s="49">
        <f>COUNTIFS(Data!$H$2:$H$500,"Є учасником судових проваджень і представляєте особисто себе",Data!$M$2:$M$500,2)</f>
        <v>0</v>
      </c>
      <c r="F62" s="49">
        <f>COUNTIFS(Data!$H$2:$H$500,"Є учасником судових проваджень і представляєте особисто себе",Data!$M$2:$M$500,3)</f>
        <v>0</v>
      </c>
      <c r="G62" s="49">
        <f>COUNTIFS(Data!$H$2:$H$500,"Є учасником судових проваджень і представляєте особисто себе",Data!$M$2:$M$500,4)</f>
        <v>10</v>
      </c>
      <c r="H62" s="49">
        <f>COUNTIFS(Data!$H$2:$H$500,"Є учасником судових проваджень і представляєте особисто себе",Data!$M$2:$M$500,5)</f>
        <v>6</v>
      </c>
      <c r="I62" s="49">
        <f>COUNTIFS(Data!$H$2:$H$500,"Є учасником судових проваджень і представляєте особисто себе",Data!$M$2:$M$500,9)</f>
        <v>2</v>
      </c>
      <c r="J62" s="54">
        <f t="shared" si="0"/>
        <v>4.375</v>
      </c>
      <c r="K62" s="28"/>
      <c r="L62" s="56"/>
      <c r="M62" s="4"/>
      <c r="N62" s="4"/>
      <c r="O62" s="4"/>
      <c r="P62" s="4"/>
      <c r="Q62" s="4"/>
      <c r="R62" s="4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75.75" x14ac:dyDescent="0.25">
      <c r="A63" s="49">
        <v>19</v>
      </c>
      <c r="B63" s="50" t="s">
        <v>95</v>
      </c>
      <c r="C63" s="23">
        <f>COUNTIF(Data!H$2:H$300,"Є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8</v>
      </c>
      <c r="D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юрист-консультантом)",Data!$M$2:$M$500,1)</f>
        <v>0</v>
      </c>
      <c r="E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юрист-консультантом)",Data!$M$2:$M$500,2)</f>
        <v>0</v>
      </c>
      <c r="F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юрист-консультантом)",Data!$M$2:$M$500,3)</f>
        <v>0</v>
      </c>
      <c r="G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юрист-консультантом)",Data!$M$2:$M$500,4)</f>
        <v>0</v>
      </c>
      <c r="H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юрист-консультантом)",Data!$M$2:$M$500,5)</f>
        <v>8</v>
      </c>
      <c r="I63" s="49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юрист-консультантом)",Data!$M$2:$M$500,9)</f>
        <v>0</v>
      </c>
      <c r="J63" s="54">
        <f t="shared" si="0"/>
        <v>5</v>
      </c>
      <c r="K63" s="28"/>
      <c r="L63" s="56"/>
      <c r="M63" s="4"/>
      <c r="N63" s="4"/>
      <c r="O63" s="4"/>
      <c r="P63" s="4"/>
      <c r="Q63" s="4"/>
      <c r="R63" s="4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30.75" x14ac:dyDescent="0.25">
      <c r="A64" s="49">
        <v>20</v>
      </c>
      <c r="B64" s="50" t="s">
        <v>97</v>
      </c>
      <c r="C64" s="23">
        <f>COUNTIF(Data!H$2:H$300,"Не є учасником судових проваджень")</f>
        <v>24</v>
      </c>
      <c r="D64" s="49">
        <f>COUNTIFS(Data!$H$2:$H$500,"Не є учасником судових проваджень",Data!$M$2:$M$500,1)</f>
        <v>0</v>
      </c>
      <c r="E64" s="49">
        <f>COUNTIFS(Data!$H$2:$H$500,"Не є учасником судових проваджень",Data!$M$2:$M$500,2)</f>
        <v>0</v>
      </c>
      <c r="F64" s="49">
        <f>COUNTIFS(Data!$H$2:$H$500,"Не є учасником судових проваджень",Data!$M$2:$M$500,3)</f>
        <v>0</v>
      </c>
      <c r="G64" s="49">
        <f>COUNTIFS(Data!$H$2:$H$500,"Не є учасником судових проваджень",Data!$M$2:$M$500,4)</f>
        <v>11</v>
      </c>
      <c r="H64" s="49">
        <f>COUNTIFS(Data!$H$2:$H$500,"Не є учасником судових проваджень",Data!$M$2:$M$500,5)</f>
        <v>8</v>
      </c>
      <c r="I64" s="49">
        <f>COUNTIFS(Data!$H$2:$H$500,"Не є учасником судових проваджень",Data!$M$2:$M$500,9)</f>
        <v>5</v>
      </c>
      <c r="J64" s="54">
        <f t="shared" si="0"/>
        <v>4.4210526315789478</v>
      </c>
      <c r="K64" s="28"/>
      <c r="L64" s="56"/>
      <c r="M64" s="4"/>
      <c r="N64" s="4"/>
      <c r="O64" s="4"/>
      <c r="P64" s="4"/>
      <c r="Q64" s="4"/>
      <c r="R64" s="4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x14ac:dyDescent="0.25">
      <c r="A65" s="49">
        <v>21</v>
      </c>
      <c r="B65" s="50" t="s">
        <v>99</v>
      </c>
      <c r="C65" s="23">
        <f>COUNTIF(Data!H$2:H$300,"Інше")</f>
        <v>0</v>
      </c>
      <c r="D65" s="49">
        <f>COUNTIFS(Data!$H$2:$H$500,"Інше",Data!$M$2:$M$500,1)</f>
        <v>0</v>
      </c>
      <c r="E65" s="49">
        <f>COUNTIFS(Data!$H$2:$H$500,"Інше",Data!$M$2:$M$500,2)</f>
        <v>0</v>
      </c>
      <c r="F65" s="49">
        <f>COUNTIFS(Data!$H$2:$H$500,"Інше",Data!$M$2:$M$500,3)</f>
        <v>0</v>
      </c>
      <c r="G65" s="49">
        <f>COUNTIFS(Data!$H$2:$H$500,"Інше",Data!$M$2:$M$500,4)</f>
        <v>0</v>
      </c>
      <c r="H65" s="49">
        <f>COUNTIFS(Data!$H$2:$H$500,"Інше",Data!$M$2:$M$500,5)</f>
        <v>0</v>
      </c>
      <c r="I65" s="49">
        <f>COUNTIFS(Data!$H$2:$H$500,"Інше",Data!$M$2:$M$500,9)</f>
        <v>0</v>
      </c>
      <c r="J65" s="54" t="e">
        <f t="shared" si="0"/>
        <v>#DIV/0!</v>
      </c>
      <c r="K65" s="28"/>
      <c r="L65" s="56"/>
      <c r="M65" s="4"/>
      <c r="N65" s="4"/>
      <c r="O65" s="4"/>
      <c r="P65" s="4"/>
      <c r="Q65" s="4"/>
      <c r="R65" s="4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30.75" x14ac:dyDescent="0.25">
      <c r="A66" s="49">
        <v>22</v>
      </c>
      <c r="B66" s="50" t="s">
        <v>100</v>
      </c>
      <c r="C66" s="23">
        <f>COUNTIF(Data!I$2:I$300,"Цивільний процес")</f>
        <v>22</v>
      </c>
      <c r="D66" s="49">
        <f>COUNTIFS(Data!$I$2:$I$500,"Цивільний процес",Data!$M$2:$M$500,1)</f>
        <v>0</v>
      </c>
      <c r="E66" s="49">
        <f>COUNTIFS(Data!$I$2:$I$500,"Цивільний процес",Data!$M$2:$M$500,2)</f>
        <v>0</v>
      </c>
      <c r="F66" s="49">
        <f>COUNTIFS(Data!$I$2:$I$500,"Цивільний процес",Data!$M$2:$M$500,3)</f>
        <v>0</v>
      </c>
      <c r="G66" s="49">
        <f>COUNTIFS(Data!$I$2:$I$500,"Цивільний процес",Data!$M$2:$M$500,4)</f>
        <v>8</v>
      </c>
      <c r="H66" s="49">
        <f>COUNTIFS(Data!$I$2:$I$500,"Цивільний процес",Data!$M$2:$M$500,5)</f>
        <v>12</v>
      </c>
      <c r="I66" s="49">
        <f>COUNTIFS(Data!$I$2:$I$500,"Цивільний процес",Data!$M$2:$M$500,9)</f>
        <v>2</v>
      </c>
      <c r="J66" s="54">
        <f t="shared" si="0"/>
        <v>4.5999999999999996</v>
      </c>
      <c r="K66" s="28"/>
      <c r="L66" s="56"/>
      <c r="M66" s="4"/>
      <c r="N66" s="4"/>
      <c r="O66" s="4"/>
      <c r="P66" s="4"/>
      <c r="Q66" s="4"/>
      <c r="R66" s="4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30.75" x14ac:dyDescent="0.25">
      <c r="A67" s="49">
        <v>23</v>
      </c>
      <c r="B67" s="50" t="s">
        <v>102</v>
      </c>
      <c r="C67" s="23">
        <f>COUNTIF(Data!I$2:I$300,"Кримінальний процес")</f>
        <v>1</v>
      </c>
      <c r="D67" s="49">
        <f>COUNTIFS(Data!$I$2:$I$500,"Кримінальний процес",Data!$M$2:$M$500,1)</f>
        <v>0</v>
      </c>
      <c r="E67" s="49">
        <f>COUNTIFS(Data!$I$2:$I$500,"Кримінальний процес",Data!$M$2:$M$500,2)</f>
        <v>0</v>
      </c>
      <c r="F67" s="49">
        <f>COUNTIFS(Data!$I$2:$I$500,"Кримінальний процес",Data!$M$2:$M$500,3)</f>
        <v>0</v>
      </c>
      <c r="G67" s="49">
        <f>COUNTIFS(Data!$I$2:$I$500,"Кримінальний процес",Data!$M$2:$M$500,4)</f>
        <v>0</v>
      </c>
      <c r="H67" s="49">
        <f>COUNTIFS(Data!$I$2:$I$500,"Кримінальний процес",Data!$M$2:$M$500,5)</f>
        <v>0</v>
      </c>
      <c r="I67" s="49">
        <f>COUNTIFS(Data!$I$2:$I$500,"Кримінальний процес",Data!$M$2:$M$500,9)</f>
        <v>1</v>
      </c>
      <c r="J67" s="54" t="e">
        <f t="shared" si="0"/>
        <v>#DIV/0!</v>
      </c>
      <c r="K67" s="28"/>
      <c r="L67" s="56"/>
      <c r="M67" s="4"/>
      <c r="N67" s="4"/>
      <c r="O67" s="4"/>
      <c r="P67" s="4"/>
      <c r="Q67" s="4"/>
      <c r="R67" s="4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30.75" x14ac:dyDescent="0.25">
      <c r="A68" s="49">
        <v>24</v>
      </c>
      <c r="B68" s="50" t="s">
        <v>103</v>
      </c>
      <c r="C68" s="23">
        <f>COUNTIF(Data!I$2:I$300,"Адміністративний процес")</f>
        <v>3</v>
      </c>
      <c r="D68" s="49">
        <f>COUNTIFS(Data!$I$2:$I$500,"Адміністративний процес",Data!$M$2:$M$500,1)</f>
        <v>0</v>
      </c>
      <c r="E68" s="49">
        <f>COUNTIFS(Data!$I$2:$I$500,"Адміністративний процес",Data!$M$2:$M$500,2)</f>
        <v>0</v>
      </c>
      <c r="F68" s="49">
        <f>COUNTIFS(Data!$I$2:$I$500,"Адміністративний процес",Data!$M$2:$M$500,3)</f>
        <v>0</v>
      </c>
      <c r="G68" s="49">
        <f>COUNTIFS(Data!$I$2:$I$500,"Адміністративний процес",Data!$M$2:$M$500,4)</f>
        <v>2</v>
      </c>
      <c r="H68" s="49">
        <f>COUNTIFS(Data!$I$2:$I$500,"Адміністративний процес",Data!$M$2:$M$500,5)</f>
        <v>1</v>
      </c>
      <c r="I68" s="49">
        <f>COUNTIFS(Data!$I$2:$I$500,"Адміністративний процес",Data!$M$2:$M$500,9)</f>
        <v>0</v>
      </c>
      <c r="J68" s="54">
        <f t="shared" si="0"/>
        <v>4.333333333333333</v>
      </c>
      <c r="K68" s="28"/>
      <c r="L68" s="56"/>
      <c r="M68" s="4"/>
      <c r="N68" s="4"/>
      <c r="O68" s="4"/>
      <c r="P68" s="4"/>
      <c r="Q68" s="4"/>
      <c r="R68" s="4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30.75" x14ac:dyDescent="0.25">
      <c r="A69" s="49">
        <v>25</v>
      </c>
      <c r="B69" s="50" t="s">
        <v>105</v>
      </c>
      <c r="C69" s="23">
        <f>COUNTIF(Data!I$2:I$300,"Господарський процес")</f>
        <v>0</v>
      </c>
      <c r="D69" s="49">
        <f>COUNTIFS(Data!$I$2:$I$500,"Господарський процес",Data!$M$2:$M$500,1)</f>
        <v>0</v>
      </c>
      <c r="E69" s="49">
        <f>COUNTIFS(Data!$I$2:$I$500,"Господарський процес",Data!$M$2:$M$500,2)</f>
        <v>0</v>
      </c>
      <c r="F69" s="49">
        <f>COUNTIFS(Data!$I$2:$I$500,"Господарський процес",Data!$M$2:$M$500,3)</f>
        <v>0</v>
      </c>
      <c r="G69" s="49">
        <f>COUNTIFS(Data!$I$2:$I$500,"Господарський процес",Data!$M$2:$M$500,4)</f>
        <v>0</v>
      </c>
      <c r="H69" s="49">
        <f>COUNTIFS(Data!$I$2:$I$500,"Господарський процес",Data!$M$2:$M$500,5)</f>
        <v>0</v>
      </c>
      <c r="I69" s="49">
        <f>COUNTIFS(Data!$I$2:$I$500,"Господарський процес",Data!$M$2:$M$500,9)</f>
        <v>0</v>
      </c>
      <c r="J69" s="54" t="e">
        <f t="shared" si="0"/>
        <v>#DIV/0!</v>
      </c>
      <c r="K69" s="28"/>
      <c r="L69" s="56"/>
      <c r="M69" s="4"/>
      <c r="N69" s="4"/>
      <c r="O69" s="4"/>
      <c r="P69" s="4"/>
      <c r="Q69" s="4"/>
      <c r="R69" s="4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30.75" x14ac:dyDescent="0.25">
      <c r="A70" s="49">
        <v>26</v>
      </c>
      <c r="B70" s="50" t="s">
        <v>106</v>
      </c>
      <c r="C70" s="23">
        <f>COUNTIF(Data!I$2:I$300,"Справа про адміністративні  правопорушення")</f>
        <v>2</v>
      </c>
      <c r="D70" s="49">
        <f>COUNTIFS(Data!$I$2:$I$500,"Справа про адміністративні  правопорушення",Data!$M$2:$M$500,1)</f>
        <v>0</v>
      </c>
      <c r="E70" s="49">
        <f>COUNTIFS(Data!$I$2:$I$500,"Справа про адміністративні  правопорушення",Data!$M$2:$M$500,2)</f>
        <v>0</v>
      </c>
      <c r="F70" s="49">
        <f>COUNTIFS(Data!$I$2:$I$500,"Справа про адміністративні  правопорушення",Data!$M$2:$M$500,3)</f>
        <v>0</v>
      </c>
      <c r="G70" s="49">
        <f>COUNTIFS(Data!$I$2:$I$500,"Справа про адміністративні  правопорушення",Data!$M$2:$M$500,4)</f>
        <v>0</v>
      </c>
      <c r="H70" s="49">
        <f>COUNTIFS(Data!$I$2:$I$500,"Справа про адміністративні  правопорушення",Data!$M$2:$M$500,5)</f>
        <v>2</v>
      </c>
      <c r="I70" s="49">
        <f>COUNTIFS(Data!$I$2:$I$500,"Справа про адміністративні  правопорушення",Data!$M$2:$M$500,9)</f>
        <v>0</v>
      </c>
      <c r="J70" s="54">
        <f t="shared" si="0"/>
        <v>5</v>
      </c>
      <c r="K70" s="28"/>
      <c r="L70" s="56"/>
      <c r="M70" s="4"/>
      <c r="N70" s="4"/>
      <c r="O70" s="4"/>
      <c r="P70" s="4"/>
      <c r="Q70" s="4"/>
      <c r="R70" s="4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25">
      <c r="A71" s="35"/>
      <c r="B71" s="35" t="s">
        <v>72</v>
      </c>
      <c r="C71" s="46">
        <f>COUNT(Data!$A$2:$A$500)</f>
        <v>50</v>
      </c>
      <c r="D71" s="64">
        <f>COUNTIF(Data!$M$2:$M$500,1)</f>
        <v>0</v>
      </c>
      <c r="E71" s="64">
        <f>COUNTIF(Data!$M$2:$M$500,2)</f>
        <v>0</v>
      </c>
      <c r="F71" s="64">
        <f>COUNTIF(Data!$M$2:$M$500,3)</f>
        <v>0</v>
      </c>
      <c r="G71" s="64">
        <f>COUNTIF(Data!$M$2:$M$500,4)</f>
        <v>21</v>
      </c>
      <c r="H71" s="64">
        <f>COUNTIF(Data!$M$2:$M$500,5)</f>
        <v>22</v>
      </c>
      <c r="I71" s="64">
        <f>COUNTIF(Data!$M$2:$M$500,9)</f>
        <v>7</v>
      </c>
      <c r="J71" s="54">
        <f t="shared" si="0"/>
        <v>4.5116279069767442</v>
      </c>
      <c r="K71" s="28"/>
      <c r="M71" s="4"/>
      <c r="N71" s="4"/>
      <c r="O71" s="4"/>
      <c r="P71" s="4"/>
      <c r="Q71" s="4"/>
      <c r="R71" s="4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x14ac:dyDescent="0.25">
      <c r="A72" s="65"/>
      <c r="B72" s="65"/>
      <c r="C72" s="65"/>
      <c r="D72" s="65"/>
      <c r="E72" s="65"/>
      <c r="F72" s="65"/>
      <c r="G72" s="5"/>
      <c r="H72" s="5"/>
      <c r="I72" s="5"/>
      <c r="J72" s="5"/>
      <c r="K72" s="28"/>
      <c r="M72" s="4"/>
      <c r="N72" s="4"/>
      <c r="O72" s="4"/>
      <c r="P72" s="4"/>
      <c r="Q72" s="4"/>
      <c r="R72" s="4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x14ac:dyDescent="0.25">
      <c r="A73" s="65"/>
      <c r="B73" s="65"/>
      <c r="C73" s="65"/>
      <c r="D73" s="65"/>
      <c r="E73" s="65"/>
      <c r="F73" s="65"/>
      <c r="G73" s="5"/>
      <c r="H73" s="5"/>
      <c r="I73" s="5"/>
      <c r="J73" s="5"/>
      <c r="K73" s="28"/>
      <c r="M73" s="4"/>
      <c r="N73" s="4"/>
      <c r="O73" s="4"/>
      <c r="P73" s="4"/>
      <c r="Q73" s="4"/>
      <c r="R73" s="4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8.75" x14ac:dyDescent="0.3">
      <c r="B74" s="66" t="s">
        <v>108</v>
      </c>
      <c r="C74" s="67"/>
      <c r="D74" s="67"/>
      <c r="E74" s="67"/>
      <c r="F74" s="67"/>
      <c r="G74" s="68"/>
      <c r="H74" s="68"/>
      <c r="I74" s="68"/>
      <c r="J74" s="69">
        <f>AVERAGE(J88,J99,J113,J124,J133,J143)</f>
        <v>4.6492668442463243</v>
      </c>
      <c r="K74" s="28"/>
      <c r="M74" s="4"/>
      <c r="N74" s="4"/>
      <c r="O74" s="4"/>
      <c r="P74" s="4"/>
      <c r="Q74" s="4"/>
      <c r="R74" s="4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8" x14ac:dyDescent="0.25">
      <c r="B75" s="70"/>
      <c r="C75" s="65"/>
      <c r="D75" s="65"/>
      <c r="E75" s="65"/>
      <c r="F75" s="65"/>
      <c r="G75" s="5"/>
      <c r="H75" s="5"/>
      <c r="I75" s="5"/>
      <c r="J75" s="5"/>
      <c r="K75" s="28"/>
      <c r="M75" s="4"/>
      <c r="N75" s="4"/>
      <c r="O75" s="4"/>
      <c r="P75" s="4"/>
      <c r="Q75" s="4"/>
      <c r="R75" s="4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8" x14ac:dyDescent="0.25">
      <c r="B76" s="70"/>
      <c r="C76" s="65"/>
      <c r="D76" s="65"/>
      <c r="E76" s="65"/>
      <c r="F76" s="65"/>
      <c r="G76" s="5"/>
      <c r="H76" s="5"/>
      <c r="I76" s="5"/>
      <c r="J76" s="5"/>
      <c r="K76" s="28"/>
      <c r="M76" s="4"/>
      <c r="N76" s="4"/>
      <c r="O76" s="4"/>
      <c r="P76" s="4"/>
      <c r="Q76" s="4"/>
      <c r="R76" s="4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8" x14ac:dyDescent="0.25">
      <c r="B77" s="70" t="s">
        <v>110</v>
      </c>
      <c r="C77" s="65"/>
      <c r="D77" s="65"/>
      <c r="E77" s="65"/>
      <c r="F77" s="65"/>
      <c r="G77" s="5"/>
      <c r="H77" s="5"/>
      <c r="I77" s="5"/>
      <c r="J77" s="5"/>
      <c r="K77" s="28"/>
      <c r="M77" s="4"/>
      <c r="N77" s="4"/>
      <c r="O77" s="4"/>
      <c r="P77" s="4"/>
      <c r="Q77" s="4"/>
      <c r="R77" s="4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31.5" x14ac:dyDescent="0.25">
      <c r="A78" s="71" t="s">
        <v>55</v>
      </c>
      <c r="B78" s="146" t="s">
        <v>111</v>
      </c>
      <c r="C78" s="136"/>
      <c r="D78" s="136"/>
      <c r="E78" s="136"/>
      <c r="F78" s="137"/>
      <c r="G78" s="146" t="s">
        <v>112</v>
      </c>
      <c r="H78" s="136"/>
      <c r="I78" s="137"/>
      <c r="J78" s="72" t="s">
        <v>113</v>
      </c>
      <c r="K78" s="73"/>
      <c r="L78" s="73"/>
      <c r="M78" s="4"/>
      <c r="N78" s="4"/>
      <c r="O78" s="4"/>
      <c r="P78" s="4"/>
      <c r="Q78" s="4"/>
      <c r="R78" s="4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x14ac:dyDescent="0.25">
      <c r="A79" s="74">
        <v>1</v>
      </c>
      <c r="B79" s="138" t="s">
        <v>114</v>
      </c>
      <c r="C79" s="136"/>
      <c r="D79" s="136"/>
      <c r="E79" s="136"/>
      <c r="F79" s="137"/>
      <c r="G79" s="142" t="s">
        <v>115</v>
      </c>
      <c r="H79" s="136"/>
      <c r="I79" s="137"/>
      <c r="J79" s="76">
        <f>((COUNTIF(Data!$P$2:$P$500,1)*1)+(COUNTIF(Data!$P$2:$P$500,2)*2)+(COUNTIF(Data!$P$2:$P$500,3)*3)+(COUNTIF(Data!$P$2:$P$500,4)*4)+(COUNTIF(Data!$P$2:$P$500,5)*5))/(COUNTIF(Data!$P$2:$P$500,1)+COUNTIF(Data!$P$2:$P$500,2)+COUNTIF(Data!$P$2:$P$500,3)+COUNTIF(Data!$P$2:$P$500,4)+COUNTIF(Data!$P$2:$P$500,5))</f>
        <v>4.76</v>
      </c>
      <c r="K79" s="28"/>
      <c r="M79" s="4"/>
      <c r="N79" s="4"/>
      <c r="O79" s="4"/>
      <c r="P79" s="4"/>
      <c r="Q79" s="4"/>
      <c r="R79" s="4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x14ac:dyDescent="0.25">
      <c r="A80" s="77">
        <v>2</v>
      </c>
      <c r="B80" s="138" t="s">
        <v>116</v>
      </c>
      <c r="C80" s="136"/>
      <c r="D80" s="136"/>
      <c r="E80" s="136"/>
      <c r="F80" s="137"/>
      <c r="G80" s="142" t="s">
        <v>115</v>
      </c>
      <c r="H80" s="136"/>
      <c r="I80" s="137"/>
      <c r="J80" s="76">
        <f>((COUNTIF(Data!$Q$2:$Q$500,1)*1)+(COUNTIF(Data!$Q$2:$Q$500,2)*2)+(COUNTIF(Data!$Q$2:$Q$500,3)*3)+(COUNTIF(Data!$Q$2:$Q$500,4)*4)+(COUNTIF(Data!$Q$2:$Q$500,5)*5))/(COUNTIF(Data!$Q$2:$Q$500,1)+COUNTIF(Data!$Q$2:$Q$500,2)+COUNTIF(Data!$Q$2:$Q$500,3)+COUNTIF(Data!$Q$2:$Q$500,4)+COUNTIF(Data!$Q$2:$Q$500,5))</f>
        <v>4.6388888888888893</v>
      </c>
      <c r="K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x14ac:dyDescent="0.25">
      <c r="A81" s="74">
        <v>3</v>
      </c>
      <c r="B81" s="138" t="s">
        <v>118</v>
      </c>
      <c r="C81" s="136"/>
      <c r="D81" s="136"/>
      <c r="E81" s="136"/>
      <c r="F81" s="137"/>
      <c r="G81" s="142" t="s">
        <v>115</v>
      </c>
      <c r="H81" s="136"/>
      <c r="I81" s="137"/>
      <c r="J81" s="76">
        <f>((COUNTIF(Data!$R$2:$R$500,1)*1)+(COUNTIF(Data!$R$2:$R$500,2)*2)+(COUNTIF(Data!$R$2:$R$500,3)*3)+(COUNTIF(Data!$R$2:$R$500,4)*4)+(COUNTIF(Data!$R$2:$R$500,5)*5))/(COUNTIF(Data!$R$2:$R$500,1)+COUNTIF(Data!$R$2:$R$500,2)+COUNTIF(Data!$R$2:$R$500,3)+COUNTIF(Data!$R$2:$R$500,4)+COUNTIF(Data!$R$2:$R$500,5))</f>
        <v>4.7619047619047619</v>
      </c>
      <c r="K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x14ac:dyDescent="0.25">
      <c r="A82" s="77">
        <v>4</v>
      </c>
      <c r="B82" s="138" t="s">
        <v>119</v>
      </c>
      <c r="C82" s="136"/>
      <c r="D82" s="136"/>
      <c r="E82" s="136"/>
      <c r="F82" s="137"/>
      <c r="G82" s="142" t="s">
        <v>120</v>
      </c>
      <c r="H82" s="136"/>
      <c r="I82" s="137"/>
      <c r="J82" s="76">
        <f>((COUNTIF(Data!$S$2:$S$500,1)*1)+(COUNTIF(Data!$S$2:$S$500,2)*2)+(COUNTIF(Data!$S$2:$S$500,3)*3)+(COUNTIF(Data!$S$2:$S$500,4)*4)+(COUNTIF(Data!$S$2:$S$500,5)*5))/(COUNTIF(Data!$S$2:$S$500,1)+COUNTIF(Data!$S$2:$S$500,2)+COUNTIF(Data!$S$2:$S$500,3)+COUNTIF(Data!$S$2:$S$500,4)+COUNTIF(Data!$S$2:$S$500,5))</f>
        <v>5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x14ac:dyDescent="0.25">
      <c r="A83" s="74">
        <v>5</v>
      </c>
      <c r="B83" s="138" t="s">
        <v>121</v>
      </c>
      <c r="C83" s="136"/>
      <c r="D83" s="136"/>
      <c r="E83" s="136"/>
      <c r="F83" s="137"/>
      <c r="G83" s="142" t="s">
        <v>115</v>
      </c>
      <c r="H83" s="136"/>
      <c r="I83" s="137"/>
      <c r="J83" s="76">
        <f>((COUNTIF(Data!$T$2:$T$500,1)*1)+(COUNTIF(Data!$T$2:$T$500,2)*2)+(COUNTIF(Data!$T$2:$T$500,3)*3)+(COUNTIF(Data!$T$2:$T$500,4)*4)+(COUNTIF(Data!$T$2:$T$500,5)*5))/(COUNTIF(Data!$T$2:$T$500,1)+COUNTIF(Data!$T$2:$T$500,2)+COUNTIF(Data!$T$2:$T$500,3)+COUNTIF(Data!$T$2:$T$500,4)+COUNTIF(Data!$T$2:$T$500,5))</f>
        <v>4.795918367346939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x14ac:dyDescent="0.25">
      <c r="A84" s="77">
        <v>6</v>
      </c>
      <c r="B84" s="138" t="s">
        <v>123</v>
      </c>
      <c r="C84" s="136"/>
      <c r="D84" s="136"/>
      <c r="E84" s="136"/>
      <c r="F84" s="137"/>
      <c r="G84" s="142" t="s">
        <v>115</v>
      </c>
      <c r="H84" s="136"/>
      <c r="I84" s="137"/>
      <c r="J84" s="76">
        <f>((COUNTIF(Data!$U$2:$U$500,1)*1)+(COUNTIF(Data!$U$2:$U$500,2)*2)+(COUNTIF(Data!$U$2:$U$500,3)*3)+(COUNTIF(Data!$U$2:$U$500,4)*4)+(COUNTIF(Data!$U$2:$U$500,5)*5))/(COUNTIF(Data!$U$2:$U$500,1)+COUNTIF(Data!$U$2:$U$500,2)+COUNTIF(Data!$U$2:$U$500,3)+COUNTIF(Data!$U$2:$U$500,4)+COUNTIF(Data!$U$2:$U$500,5))</f>
        <v>4.7435897435897436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x14ac:dyDescent="0.25">
      <c r="A85" s="74">
        <v>7</v>
      </c>
      <c r="B85" s="138" t="s">
        <v>124</v>
      </c>
      <c r="C85" s="136"/>
      <c r="D85" s="136"/>
      <c r="E85" s="136"/>
      <c r="F85" s="137"/>
      <c r="G85" s="142" t="s">
        <v>115</v>
      </c>
      <c r="H85" s="136"/>
      <c r="I85" s="137"/>
      <c r="J85" s="76">
        <f>((COUNTIF(Data!$V$2:$V$500,1)*1)+(COUNTIF(Data!$V$2:$V$500,2)*2)+(COUNTIF(Data!$V$2:$V$500,3)*3)+(COUNTIF(Data!$V$2:$V$500,4)*4)+(COUNTIF(Data!$V$2:$V$500,5)*5))/(COUNTIF(Data!$V$2:$V$500,1)+COUNTIF(Data!$V$2:$V$500,2)+COUNTIF(Data!$V$2:$V$500,3)+COUNTIF(Data!$V$2:$V$500,4)+COUNTIF(Data!$V$2:$V$500,5))</f>
        <v>4.7692307692307692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x14ac:dyDescent="0.25">
      <c r="A86" s="77">
        <v>8</v>
      </c>
      <c r="B86" s="148" t="s">
        <v>126</v>
      </c>
      <c r="C86" s="136"/>
      <c r="D86" s="136"/>
      <c r="E86" s="136"/>
      <c r="F86" s="137"/>
      <c r="G86" s="152" t="s">
        <v>115</v>
      </c>
      <c r="H86" s="136"/>
      <c r="I86" s="137"/>
      <c r="J86" s="78">
        <f>((COUNTIF(Data!$W$2:$W$500,1)*1)+(COUNTIF(Data!$W$2:$W$500,2)*2)+(COUNTIF(Data!$W$2:$W$500,3)*3)+(COUNTIF(Data!$W$2:$W$500,4)*4)+(COUNTIF(Data!$W$2:$W$500,5)*5))/(COUNTIF(Data!$W$2:$W$500,1)+COUNTIF(Data!$W$2:$W$500,2)+COUNTIF(Data!$W$2:$W$500,3)+COUNTIF(Data!$W$2:$W$500,4)+COUNTIF(Data!$W$2:$W$500,5))</f>
        <v>4.7777777777777777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x14ac:dyDescent="0.25">
      <c r="A87" s="74">
        <v>9</v>
      </c>
      <c r="B87" s="138" t="s">
        <v>127</v>
      </c>
      <c r="C87" s="136"/>
      <c r="D87" s="136"/>
      <c r="E87" s="136"/>
      <c r="F87" s="137"/>
      <c r="G87" s="142" t="s">
        <v>115</v>
      </c>
      <c r="H87" s="136"/>
      <c r="I87" s="137"/>
      <c r="J87" s="76">
        <f>((COUNTIF(Data!$X$2:$X$500,1)*1)+(COUNTIF(Data!$X$2:$X$500,2)*2)+(COUNTIF(Data!$X$2:$X$500,3)*3)+(COUNTIF(Data!$X$2:$X$500,4)*4)+(COUNTIF(Data!$X$2:$X$500,5)*5))/(COUNTIF(Data!$X$2:$X$500,1)+COUNTIF(Data!$X$2:$X$500,2)+COUNTIF(Data!$X$2:$X$500,3)+COUNTIF(Data!$X$2:$X$500,4)+COUNTIF(Data!$X$2:$X$500,5))</f>
        <v>3.3095238095238093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x14ac:dyDescent="0.25">
      <c r="A88" s="79"/>
      <c r="B88" s="153" t="s">
        <v>129</v>
      </c>
      <c r="C88" s="136"/>
      <c r="D88" s="136"/>
      <c r="E88" s="136"/>
      <c r="F88" s="137"/>
      <c r="G88" s="154"/>
      <c r="H88" s="136"/>
      <c r="I88" s="137"/>
      <c r="J88" s="80">
        <f>AVERAGE(J79:J85,J87)</f>
        <v>4.5973820425606142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4.25" x14ac:dyDescent="0.2">
      <c r="A89" s="6"/>
      <c r="B89" s="133"/>
      <c r="C89" s="134"/>
      <c r="D89" s="134"/>
      <c r="E89" s="134"/>
      <c r="F89" s="13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2.75" x14ac:dyDescent="0.2">
      <c r="A90" s="6"/>
      <c r="B90" s="151" t="s">
        <v>130</v>
      </c>
      <c r="C90" s="134"/>
      <c r="D90" s="134"/>
      <c r="E90" s="134"/>
      <c r="F90" s="134"/>
      <c r="G90" s="134"/>
      <c r="H90" s="134"/>
      <c r="I90" s="13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4.25" x14ac:dyDescent="0.2">
      <c r="A91" s="6"/>
      <c r="B91" s="133"/>
      <c r="C91" s="134"/>
      <c r="D91" s="134"/>
      <c r="E91" s="134"/>
      <c r="F91" s="13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4.25" x14ac:dyDescent="0.2">
      <c r="A92" s="6"/>
      <c r="B92" s="133"/>
      <c r="C92" s="134"/>
      <c r="D92" s="134"/>
      <c r="E92" s="134"/>
      <c r="F92" s="13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8" x14ac:dyDescent="0.25">
      <c r="B93" s="70" t="s">
        <v>131</v>
      </c>
      <c r="C93" s="65"/>
      <c r="D93" s="65"/>
      <c r="E93" s="65"/>
      <c r="F93" s="65"/>
      <c r="G93" s="5"/>
      <c r="H93" s="5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30" x14ac:dyDescent="0.25">
      <c r="A94" s="81" t="s">
        <v>55</v>
      </c>
      <c r="B94" s="144" t="s">
        <v>111</v>
      </c>
      <c r="C94" s="136"/>
      <c r="D94" s="136"/>
      <c r="E94" s="136"/>
      <c r="F94" s="137"/>
      <c r="G94" s="144" t="s">
        <v>112</v>
      </c>
      <c r="H94" s="136"/>
      <c r="I94" s="137"/>
      <c r="J94" s="82" t="s">
        <v>113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5" x14ac:dyDescent="0.25">
      <c r="A95" s="84">
        <v>1</v>
      </c>
      <c r="B95" s="135" t="s">
        <v>133</v>
      </c>
      <c r="C95" s="136"/>
      <c r="D95" s="136"/>
      <c r="E95" s="136"/>
      <c r="F95" s="137"/>
      <c r="G95" s="143" t="s">
        <v>115</v>
      </c>
      <c r="H95" s="136"/>
      <c r="I95" s="137"/>
      <c r="J95" s="85">
        <f>((COUNTIF(Data!$Y$2:$Y$500,1)*1)+(COUNTIF(Data!$Y$2:$Y$500,2)*2)+(COUNTIF(Data!$Y$2:$Y$500,3)*3)+(COUNTIF(Data!$Y$2:$Y$500,4)*4)+(COUNTIF(Data!$Y$2:$Y$500,5)*5))/(COUNTIF(Data!$Y$2:$Y$500,1)+COUNTIF(Data!$Y$2:$Y$500,2)+COUNTIF(Data!$Y$2:$Y$500,3)+COUNTIF(Data!$Y$2:$Y$500,4)+COUNTIF(Data!$Y$2:$Y$500,5))</f>
        <v>4.7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5" x14ac:dyDescent="0.25">
      <c r="A96" s="86">
        <v>2</v>
      </c>
      <c r="B96" s="135" t="s">
        <v>134</v>
      </c>
      <c r="C96" s="136"/>
      <c r="D96" s="136"/>
      <c r="E96" s="136"/>
      <c r="F96" s="137"/>
      <c r="G96" s="143" t="s">
        <v>115</v>
      </c>
      <c r="H96" s="136"/>
      <c r="I96" s="137"/>
      <c r="J96" s="85">
        <f>((COUNTIF(Data!$Z$2:$Z$500,1)*1)+(COUNTIF(Data!$Z$2:$Z$500,2)*2)+(COUNTIF(Data!$Z$2:$Z$500,3)*3)+(COUNTIF(Data!$Z$2:$Z$500,4)*4)+(COUNTIF(Data!$Z$2:$Z$500,5)*5))/(COUNTIF(Data!$Z$2:$Z$500,1)+COUNTIF(Data!$Z$2:$Z$500,2)+COUNTIF(Data!$Z$2:$Z$500,3)+COUNTIF(Data!$Z$2:$Z$500,4)+COUNTIF(Data!$Z$2:$Z$500,5))</f>
        <v>4.66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5" x14ac:dyDescent="0.25">
      <c r="A97" s="84">
        <v>3</v>
      </c>
      <c r="B97" s="135" t="s">
        <v>135</v>
      </c>
      <c r="C97" s="136"/>
      <c r="D97" s="136"/>
      <c r="E97" s="136"/>
      <c r="F97" s="137"/>
      <c r="G97" s="143" t="s">
        <v>115</v>
      </c>
      <c r="H97" s="136"/>
      <c r="I97" s="137"/>
      <c r="J97" s="85">
        <f>((COUNTIF(Data!$AA$2:$AA$500,1)*1)+(COUNTIF(Data!$AA$2:$AA$500,2)*2)+(COUNTIF(Data!$AA$2:$AA$500,3)*3)+(COUNTIF(Data!$AA$2:$AA$500,4)*4)+(COUNTIF(Data!$AA$2:$AA$500,5)*5))/(COUNTIF(Data!$AA$2:$AA$500,1)+COUNTIF(Data!$AA$2:$AA$500,2)+COUNTIF(Data!$AA$2:$AA$500,3)+COUNTIF(Data!$AA$2:$AA$500,4)+COUNTIF(Data!$AA$2:$AA$500,5))</f>
        <v>4.82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5" x14ac:dyDescent="0.25">
      <c r="A98" s="86">
        <v>4</v>
      </c>
      <c r="B98" s="135" t="s">
        <v>137</v>
      </c>
      <c r="C98" s="136"/>
      <c r="D98" s="136"/>
      <c r="E98" s="136"/>
      <c r="F98" s="137"/>
      <c r="G98" s="143" t="s">
        <v>115</v>
      </c>
      <c r="H98" s="136"/>
      <c r="I98" s="137"/>
      <c r="J98" s="85">
        <f>((COUNTIF(Data!$AB$2:$AB$500,1)*1)+(COUNTIF(Data!$AB$2:$AB$500,2)*2)+(COUNTIF(Data!$AB$2:$AB$500,3)*3)+(COUNTIF(Data!$AB$2:$AB$500,4)*4)+(COUNTIF(Data!$AB$2:$AB$500,5)*5))/(COUNTIF(Data!$AB$2:$AB$500,1)+COUNTIF(Data!$AB$2:$AB$500,2)+COUNTIF(Data!$AB$2:$AB$500,3)+COUNTIF(Data!$AB$2:$AB$500,4)+COUNTIF(Data!$AB$2:$AB$500,5))</f>
        <v>4.54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4.25" x14ac:dyDescent="0.2">
      <c r="A99" s="87"/>
      <c r="B99" s="145" t="s">
        <v>129</v>
      </c>
      <c r="C99" s="136"/>
      <c r="D99" s="136"/>
      <c r="E99" s="136"/>
      <c r="F99" s="137"/>
      <c r="G99" s="155"/>
      <c r="H99" s="136"/>
      <c r="I99" s="137"/>
      <c r="J99" s="88">
        <f>AVERAGE(J95:J98)</f>
        <v>4.68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8" x14ac:dyDescent="0.25">
      <c r="B102" s="70" t="s">
        <v>138</v>
      </c>
      <c r="C102" s="65"/>
      <c r="D102" s="65"/>
      <c r="E102" s="65"/>
      <c r="F102" s="65"/>
      <c r="G102" s="5"/>
      <c r="H102" s="5"/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31.5" x14ac:dyDescent="0.25">
      <c r="A103" s="71" t="s">
        <v>55</v>
      </c>
      <c r="B103" s="146" t="s">
        <v>111</v>
      </c>
      <c r="C103" s="136"/>
      <c r="D103" s="136"/>
      <c r="E103" s="136"/>
      <c r="F103" s="137"/>
      <c r="G103" s="146" t="s">
        <v>112</v>
      </c>
      <c r="H103" s="136"/>
      <c r="I103" s="137"/>
      <c r="J103" s="72" t="s">
        <v>113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x14ac:dyDescent="0.25">
      <c r="A104" s="74">
        <v>1</v>
      </c>
      <c r="B104" s="139" t="s">
        <v>139</v>
      </c>
      <c r="C104" s="136"/>
      <c r="D104" s="136"/>
      <c r="E104" s="136"/>
      <c r="F104" s="137"/>
      <c r="G104" s="142" t="s">
        <v>115</v>
      </c>
      <c r="H104" s="136"/>
      <c r="I104" s="137"/>
      <c r="J104" s="76">
        <f>((COUNTIF(Data!$AC$2:$AC$500,1)*1)+(COUNTIF(Data!$AC$2:$AC$500,2)*2)+(COUNTIF(Data!$AC$2:$AC$500,3)*3)+(COUNTIF(Data!$AC$2:$AC$500,4)*4)+(COUNTIF(Data!$AC$2:$AC$500,5)*5))/(COUNTIF(Data!$AC$2:$AC$500,1)+COUNTIF(Data!$AC$2:$AC$500,2)+COUNTIF(Data!$AC$2:$AC$500,3)+COUNTIF(Data!$AC$2:$AC$500,4)+COUNTIF(Data!$AC$2:$AC$500,5))</f>
        <v>4.6938775510204085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x14ac:dyDescent="0.25">
      <c r="A105" s="77"/>
      <c r="B105" s="139" t="s">
        <v>141</v>
      </c>
      <c r="C105" s="136"/>
      <c r="D105" s="136"/>
      <c r="E105" s="136"/>
      <c r="F105" s="137"/>
      <c r="G105" s="142"/>
      <c r="H105" s="136"/>
      <c r="I105" s="137"/>
      <c r="J105" s="7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x14ac:dyDescent="0.25">
      <c r="A106" s="74">
        <v>3</v>
      </c>
      <c r="B106" s="139" t="s">
        <v>142</v>
      </c>
      <c r="C106" s="136"/>
      <c r="D106" s="136"/>
      <c r="E106" s="136"/>
      <c r="F106" s="137"/>
      <c r="G106" s="142" t="s">
        <v>115</v>
      </c>
      <c r="H106" s="136"/>
      <c r="I106" s="137"/>
      <c r="J106" s="76">
        <f>((COUNTIF(Data!$AD$2:$AD$500,1)*1)+(COUNTIF(Data!$AD$2:$AD$500,2)*2)+(COUNTIF(Data!$AD$2:$AD$500,3)*3)+(COUNTIF(Data!$AD$2:$AD$500,4)*4)+(COUNTIF(Data!$AD$2:$AD$500,5)*5))/(COUNTIF(Data!$AD$2:$AD$500,1)+COUNTIF(Data!$AD$2:$AD$500,2)+COUNTIF(Data!$AD$2:$AD$500,3)+COUNTIF(Data!$AD$2:$AD$500,4)+COUNTIF(Data!$AD$2:$AD$500,5))</f>
        <v>4.6304347826086953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x14ac:dyDescent="0.25">
      <c r="A107" s="77">
        <v>4</v>
      </c>
      <c r="B107" s="139" t="s">
        <v>143</v>
      </c>
      <c r="C107" s="136"/>
      <c r="D107" s="136"/>
      <c r="E107" s="136"/>
      <c r="F107" s="137"/>
      <c r="G107" s="142" t="s">
        <v>115</v>
      </c>
      <c r="H107" s="136"/>
      <c r="I107" s="137"/>
      <c r="J107" s="76">
        <f>((COUNTIF(Data!$AE$2:$AE$500,1)*1)+(COUNTIF(Data!$AE$2:$AE$500,2)*2)+(COUNTIF(Data!$AE$2:$AE$500,3)*3)+(COUNTIF(Data!$AE$2:$AE$500,4)*4)+(COUNTIF(Data!$AE$2:$AE$500,5)*5))/(COUNTIF(Data!$AE$2:$AE$500,1)+COUNTIF(Data!$AE$2:$AE$500,2)+COUNTIF(Data!$AE$2:$AE$500,3)+COUNTIF(Data!$AE$2:$AE$500,4)+COUNTIF(Data!$AE$2:$AE$500,5))</f>
        <v>4.7346938775510203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x14ac:dyDescent="0.25">
      <c r="A108" s="74">
        <v>5</v>
      </c>
      <c r="B108" s="139" t="s">
        <v>145</v>
      </c>
      <c r="C108" s="136"/>
      <c r="D108" s="136"/>
      <c r="E108" s="136"/>
      <c r="F108" s="137"/>
      <c r="G108" s="142" t="s">
        <v>115</v>
      </c>
      <c r="H108" s="136"/>
      <c r="I108" s="137"/>
      <c r="J108" s="76">
        <f>((COUNTIF(Data!$AF$2:$AF$500,1)*1)+(COUNTIF(Data!$AF$2:$AF$500,2)*2)+(COUNTIF(Data!$AF$2:$AF$500,3)*3)+(COUNTIF(Data!$AF$2:$AF$500,4)*4)+(COUNTIF(Data!$AF$2:$AF$500,5)*5))/(COUNTIF(Data!$AF$2:$AF$500,1)+COUNTIF(Data!$AF$2:$AF$500,2)+COUNTIF(Data!$AF$2:$AF$500,3)+COUNTIF(Data!$AF$2:$AF$500,4)+COUNTIF(Data!$AF$2:$AF$500,5))</f>
        <v>4.7551020408163263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25">
      <c r="A109" s="77">
        <v>6</v>
      </c>
      <c r="B109" s="139" t="s">
        <v>146</v>
      </c>
      <c r="C109" s="136"/>
      <c r="D109" s="136"/>
      <c r="E109" s="136"/>
      <c r="F109" s="137"/>
      <c r="G109" s="142" t="s">
        <v>115</v>
      </c>
      <c r="H109" s="136"/>
      <c r="I109" s="137"/>
      <c r="J109" s="76">
        <f>((COUNTIF(Data!$AG$2:$AG$500,1)*1)+(COUNTIF(Data!$AG$2:$AG$500,2)*2)+(COUNTIF(Data!$AG$2:$AG$500,3)*3)+(COUNTIF(Data!$AG$2:$AG$500,4)*4)+(COUNTIF(Data!$AG$2:$AG$500,5)*5))/(COUNTIF(Data!$AG$2:$AG$500,1)+COUNTIF(Data!$AG$2:$AG$500,2)+COUNTIF(Data!$AG$2:$AG$500,3)+COUNTIF(Data!$AG$2:$AG$500,4)+COUNTIF(Data!$AG$2:$AG$500,5))</f>
        <v>4.7551020408163263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x14ac:dyDescent="0.25">
      <c r="A110" s="74">
        <v>7</v>
      </c>
      <c r="B110" s="139" t="s">
        <v>148</v>
      </c>
      <c r="C110" s="136"/>
      <c r="D110" s="136"/>
      <c r="E110" s="136"/>
      <c r="F110" s="137"/>
      <c r="G110" s="142" t="s">
        <v>115</v>
      </c>
      <c r="H110" s="136"/>
      <c r="I110" s="137"/>
      <c r="J110" s="76">
        <f>((COUNTIF(Data!$AH$2:$AH$500,1)*1)+(COUNTIF(Data!$AH$2:$AH$500,2)*2)+(COUNTIF(Data!$AH$2:$AH$500,3)*3)+(COUNTIF(Data!$AH$2:$AH$500,4)*4)+(COUNTIF(Data!$AH$2:$AH$500,5)*5))/(COUNTIF(Data!$AH$2:$AH$500,1)+COUNTIF(Data!$AH$2:$AH$500,2)+COUNTIF(Data!$AH$2:$AH$500,3)+COUNTIF(Data!$AH$2:$AH$500,4)+COUNTIF(Data!$AH$2:$AH$500,5))</f>
        <v>4.8163265306122449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x14ac:dyDescent="0.25">
      <c r="A111" s="77">
        <v>8</v>
      </c>
      <c r="B111" s="139" t="s">
        <v>149</v>
      </c>
      <c r="C111" s="136"/>
      <c r="D111" s="136"/>
      <c r="E111" s="136"/>
      <c r="F111" s="137"/>
      <c r="G111" s="150" t="s">
        <v>150</v>
      </c>
      <c r="H111" s="136"/>
      <c r="I111" s="137"/>
      <c r="J111" s="89">
        <f>COUNTIF(Data!$AI$2:$AI$500,"Так")/COUNT(Data!$A2:A500)</f>
        <v>0.57999999999999996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x14ac:dyDescent="0.25">
      <c r="A112" s="74">
        <v>9</v>
      </c>
      <c r="B112" s="139" t="s">
        <v>152</v>
      </c>
      <c r="C112" s="136"/>
      <c r="D112" s="136"/>
      <c r="E112" s="136"/>
      <c r="F112" s="137"/>
      <c r="G112" s="142" t="s">
        <v>115</v>
      </c>
      <c r="H112" s="136"/>
      <c r="I112" s="137"/>
      <c r="J112" s="76">
        <f>((COUNTIF(Data!$AJ$2:$AJ$500,1)*1)+(COUNTIF(Data!$AJ$2:$AJ$500,2)*2)+(COUNTIF(Data!$AJ$2:$AJ$500,3)*3)+(COUNTIF(Data!$AJ$2:$AJ$500,4)*4)+(COUNTIF(Data!$AJ$2:$AJ$500,5)*5))/(COUNTIF(Data!$AJ$2:$AJ$500,1)+COUNTIF(Data!$AJ$2:$AJ$500,2)+COUNTIF(Data!$AJ$2:$AJ$500,3)+COUNTIF(Data!$AJ$2:$AJ$500,4)+COUNTIF(Data!$AJ$2:$AJ$500,5))</f>
        <v>4.5357142857142856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x14ac:dyDescent="0.25">
      <c r="A113" s="79"/>
      <c r="B113" s="158" t="s">
        <v>129</v>
      </c>
      <c r="C113" s="136"/>
      <c r="D113" s="136"/>
      <c r="E113" s="136"/>
      <c r="F113" s="137"/>
      <c r="G113" s="142"/>
      <c r="H113" s="136"/>
      <c r="I113" s="137"/>
      <c r="J113" s="80">
        <f>AVERAGE(J104,J106:J110,J112)</f>
        <v>4.7030358727341861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8" x14ac:dyDescent="0.25">
      <c r="B116" s="70" t="s">
        <v>154</v>
      </c>
      <c r="C116" s="65"/>
      <c r="D116" s="65"/>
      <c r="E116" s="65"/>
      <c r="F116" s="65"/>
      <c r="G116" s="5"/>
      <c r="H116" s="5"/>
      <c r="I116" s="5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31.5" x14ac:dyDescent="0.25">
      <c r="A117" s="71" t="s">
        <v>55</v>
      </c>
      <c r="B117" s="146" t="s">
        <v>111</v>
      </c>
      <c r="C117" s="136"/>
      <c r="D117" s="136"/>
      <c r="E117" s="136"/>
      <c r="F117" s="137"/>
      <c r="G117" s="146" t="s">
        <v>112</v>
      </c>
      <c r="H117" s="136"/>
      <c r="I117" s="137"/>
      <c r="J117" s="72" t="s">
        <v>113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x14ac:dyDescent="0.25">
      <c r="A118" s="74">
        <v>1</v>
      </c>
      <c r="B118" s="141" t="s">
        <v>155</v>
      </c>
      <c r="C118" s="136"/>
      <c r="D118" s="136"/>
      <c r="E118" s="136"/>
      <c r="F118" s="137"/>
      <c r="G118" s="142" t="s">
        <v>115</v>
      </c>
      <c r="H118" s="136"/>
      <c r="I118" s="137"/>
      <c r="J118" s="76">
        <f>((COUNTIF(Data!$AK$2:$AK$500,1)*1)+(COUNTIF(Data!$AK$2:$AK$500,2)*2)+(COUNTIF(Data!$AK$2:$AK$500,3)*3)+(COUNTIF(Data!$AK$2:$AK$500,4)*4)+(COUNTIF(Data!$AK$2:$AK$500,5)*5))/(COUNTIF(Data!$AK$2:$AK$500,1)+COUNTIF(Data!$AK$2:$AK$500,2)+COUNTIF(Data!$AK$2:$AK$500,3)+COUNTIF(Data!$AK$2:$AK$500,4)+COUNTIF(Data!$AK$2:$AK$500,5))</f>
        <v>4.4827586206896548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x14ac:dyDescent="0.25">
      <c r="A119" s="77">
        <v>2</v>
      </c>
      <c r="B119" s="141" t="s">
        <v>156</v>
      </c>
      <c r="C119" s="136"/>
      <c r="D119" s="136"/>
      <c r="E119" s="136"/>
      <c r="F119" s="137"/>
      <c r="G119" s="142" t="s">
        <v>115</v>
      </c>
      <c r="H119" s="136"/>
      <c r="I119" s="137"/>
      <c r="J119" s="76">
        <f>((COUNTIF(Data!$AL$2:$AL$500,1)*5)+(COUNTIF(Data!$AL$2:$AL$500,2)*4)+(COUNTIF(Data!$AL$2:$AL$500,3)*3)+(COUNTIF(Data!$AL$2:$AL$500,4)*2)+(COUNTIF(Data!$AL$2:$AL$500,5)*1))/(COUNTIF(Data!$AL$2:$AL$500,1)+COUNTIF(Data!$AL$2:$AL$500,2)+COUNTIF(Data!$AL$2:$AL$500,3)+COUNTIF(Data!$AL$2:$AL$500,4)+COUNTIF(Data!$AL$2:$AL$500,5))</f>
        <v>4.5333333333333332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x14ac:dyDescent="0.25">
      <c r="A120" s="74">
        <v>3</v>
      </c>
      <c r="B120" s="141" t="s">
        <v>157</v>
      </c>
      <c r="C120" s="136"/>
      <c r="D120" s="136"/>
      <c r="E120" s="136"/>
      <c r="F120" s="137"/>
      <c r="G120" s="142"/>
      <c r="H120" s="136"/>
      <c r="I120" s="137"/>
      <c r="J120" s="7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x14ac:dyDescent="0.25">
      <c r="A121" s="77">
        <v>4</v>
      </c>
      <c r="B121" s="141" t="s">
        <v>158</v>
      </c>
      <c r="C121" s="136"/>
      <c r="D121" s="136"/>
      <c r="E121" s="136"/>
      <c r="F121" s="137"/>
      <c r="G121" s="142" t="s">
        <v>115</v>
      </c>
      <c r="H121" s="136"/>
      <c r="I121" s="137"/>
      <c r="J121" s="76">
        <f>((COUNTIF(Data!$AM$2:$AM$500,1)*1)+(COUNTIF(Data!$AM$2:$AM$500,2)*2)+(COUNTIF(Data!$AM$2:$AM$500,3)*3)+(COUNTIF(Data!$AM$2:$AM$500,4)*4)+(COUNTIF(Data!$AM$2:$AM$500,5)*5))/(COUNTIF(Data!$AM$2:$AM$500,1)+COUNTIF(Data!$AM$2:$AM$500,2)+COUNTIF(Data!$AM$2:$AM$500,3)+COUNTIF(Data!$AM$2:$AM$500,4)+COUNTIF(Data!$AM$2:$AM$500,5))</f>
        <v>4.7666666666666666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x14ac:dyDescent="0.25">
      <c r="A122" s="79"/>
      <c r="B122" s="141" t="s">
        <v>159</v>
      </c>
      <c r="C122" s="136"/>
      <c r="D122" s="136"/>
      <c r="E122" s="136"/>
      <c r="F122" s="137"/>
      <c r="G122" s="142" t="s">
        <v>115</v>
      </c>
      <c r="H122" s="136"/>
      <c r="I122" s="137"/>
      <c r="J122" s="76">
        <f>((COUNTIF(Data!$AN$2:$AN$500,1)*1)+(COUNTIF(Data!$AN$2:$AN$500,2)*2)+(COUNTIF(Data!$AN$2:$AN$500,3)*3)+(COUNTIF(Data!$AN$2:$AN$500,4)*4)+(COUNTIF(Data!$AN$2:$AN$500,5)*5))/(COUNTIF(Data!$AN$2:$AN$500,1)+COUNTIF(Data!$AN$2:$AN$500,2)+COUNTIF(Data!$AN$2:$AN$500,3)+COUNTIF(Data!$AN$2:$AN$500,4)+COUNTIF(Data!$AN$2:$AN$500,5))</f>
        <v>4.9333333333333336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x14ac:dyDescent="0.25">
      <c r="A123" s="90"/>
      <c r="B123" s="141" t="s">
        <v>160</v>
      </c>
      <c r="C123" s="136"/>
      <c r="D123" s="136"/>
      <c r="E123" s="136"/>
      <c r="F123" s="137"/>
      <c r="G123" s="142" t="s">
        <v>115</v>
      </c>
      <c r="H123" s="136"/>
      <c r="I123" s="137"/>
      <c r="J123" s="76">
        <f>((COUNTIF(Data!$AO$2:$AO$500,1)*1)+(COUNTIF(Data!$AO$2:$AO$500,2)*2)+(COUNTIF(Data!$AO$2:$AO$500,3)*3)+(COUNTIF(Data!$AO$2:$AO$500,4)*4)+(COUNTIF(Data!$AO$2:$AO$500,5)*5))/(COUNTIF(Data!$AO$2:$AO$500,1)+COUNTIF(Data!$AO$2:$AO$500,2)+COUNTIF(Data!$AO$2:$AO$500,3)+COUNTIF(Data!$AO$2:$AO$500,4)+COUNTIF(Data!$AO$2:$AO$500,5))</f>
        <v>4.8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x14ac:dyDescent="0.25">
      <c r="A124" s="79"/>
      <c r="B124" s="153" t="s">
        <v>129</v>
      </c>
      <c r="C124" s="136"/>
      <c r="D124" s="136"/>
      <c r="E124" s="136"/>
      <c r="F124" s="137"/>
      <c r="G124" s="142"/>
      <c r="H124" s="136"/>
      <c r="I124" s="137"/>
      <c r="J124" s="80">
        <f>AVERAGE(J118:J119,J121:J123)</f>
        <v>4.7032183908045981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8" x14ac:dyDescent="0.25">
      <c r="B127" s="70" t="s">
        <v>161</v>
      </c>
      <c r="C127" s="65"/>
      <c r="D127" s="65"/>
      <c r="E127" s="65"/>
      <c r="F127" s="65"/>
      <c r="G127" s="5"/>
      <c r="H127" s="5"/>
      <c r="I127" s="5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31.5" x14ac:dyDescent="0.25">
      <c r="A128" s="71" t="s">
        <v>55</v>
      </c>
      <c r="B128" s="146" t="s">
        <v>111</v>
      </c>
      <c r="C128" s="136"/>
      <c r="D128" s="136"/>
      <c r="E128" s="136"/>
      <c r="F128" s="137"/>
      <c r="G128" s="146" t="s">
        <v>112</v>
      </c>
      <c r="H128" s="136"/>
      <c r="I128" s="137"/>
      <c r="J128" s="72" t="s">
        <v>113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x14ac:dyDescent="0.25">
      <c r="A129" s="74">
        <v>1</v>
      </c>
      <c r="B129" s="141" t="s">
        <v>162</v>
      </c>
      <c r="C129" s="136"/>
      <c r="D129" s="136"/>
      <c r="E129" s="136"/>
      <c r="F129" s="137"/>
      <c r="G129" s="142" t="s">
        <v>115</v>
      </c>
      <c r="H129" s="136"/>
      <c r="I129" s="137"/>
      <c r="J129" s="76">
        <f>((COUNTIF(Data!$AP$2:$AP$500,1)*1)+(COUNTIF(Data!$AP$2:$AP$500,2)*2)+(COUNTIF(Data!$AP$2:$AP$500,3)*3)+(COUNTIF(Data!$AP$2:$AP$500,4)*4)+(COUNTIF(Data!$AP$2:$AP$500,5)*5))/(COUNTIF(Data!$AP$2:$AP$500,1)+COUNTIF(Data!$AP$2:$AP$500,2)+COUNTIF(Data!$AP$2:$AP$500,3)+COUNTIF(Data!$AP$2:$AP$500,4)+COUNTIF(Data!$AP$2:$AP$500,5))</f>
        <v>4.166666666666667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x14ac:dyDescent="0.25">
      <c r="A130" s="77">
        <v>2</v>
      </c>
      <c r="B130" s="141" t="s">
        <v>163</v>
      </c>
      <c r="C130" s="136"/>
      <c r="D130" s="136"/>
      <c r="E130" s="136"/>
      <c r="F130" s="137"/>
      <c r="G130" s="142" t="s">
        <v>115</v>
      </c>
      <c r="H130" s="136"/>
      <c r="I130" s="137"/>
      <c r="J130" s="76">
        <f>((COUNTIF(Data!$AQ$2:$AQ$500,1)*1)+(COUNTIF(Data!$AQ$2:$AQ$500,2)*2)+(COUNTIF(Data!$AQ$2:$AQ$500,3)*3)+(COUNTIF(Data!$AQ$2:$AQ$500,4)*4)+(COUNTIF(Data!$AQ$2:$AQ$500,5)*5))/(COUNTIF(Data!$AQ$2:$AQ$500,1)+COUNTIF(Data!$AQ$2:$AQ$500,2)+COUNTIF(Data!$AQ$2:$AQ$500,3)+COUNTIF(Data!$AQ$2:$AQ$500,4)+COUNTIF(Data!$AQ$2:$AQ$500,5))</f>
        <v>4.2692307692307692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x14ac:dyDescent="0.25">
      <c r="A131" s="74">
        <v>3</v>
      </c>
      <c r="B131" s="141" t="s">
        <v>164</v>
      </c>
      <c r="C131" s="136"/>
      <c r="D131" s="136"/>
      <c r="E131" s="136"/>
      <c r="F131" s="137"/>
      <c r="G131" s="142" t="s">
        <v>115</v>
      </c>
      <c r="H131" s="136"/>
      <c r="I131" s="137"/>
      <c r="J131" s="76">
        <f>((COUNTIF(Data!$AR$2:$AR$500,1)*1)+(COUNTIF(Data!$AR$2:$AR$500,2)*2)+(COUNTIF(Data!$AR$2:$AR$500,3)*3)+(COUNTIF(Data!$AR$2:$AR$500,4)*4)+(COUNTIF(Data!$AR$2:$AR$500,5)*5))/(COUNTIF(Data!$AR$2:$AR$500,1)+COUNTIF(Data!$AR$2:$AR$500,2)+COUNTIF(Data!$AR$2:$AR$500,3)+COUNTIF(Data!$AR$2:$AR$500,4)+COUNTIF(Data!$AR$2:$AR$500,5))</f>
        <v>4.4137931034482758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x14ac:dyDescent="0.25">
      <c r="A132" s="77">
        <v>4</v>
      </c>
      <c r="B132" s="141" t="s">
        <v>165</v>
      </c>
      <c r="C132" s="136"/>
      <c r="D132" s="136"/>
      <c r="E132" s="136"/>
      <c r="F132" s="137"/>
      <c r="G132" s="142" t="s">
        <v>115</v>
      </c>
      <c r="H132" s="136"/>
      <c r="I132" s="137"/>
      <c r="J132" s="76">
        <f>((COUNTIF(Data!$AS$2:$AS$500,1)*1)+(COUNTIF(Data!$AS$2:$AS$500,2)*2)+(COUNTIF(Data!$AS$2:$AS$500,3)*3)+(COUNTIF(Data!$AS$2:$AS$500,4)*4)+(COUNTIF(Data!$AS$2:$AS$500,5)*5))/(COUNTIF(Data!$AS$2:$AS$500,1)+COUNTIF(Data!$AS$2:$AS$500,2)+COUNTIF(Data!$AS$2:$AS$500,3)+COUNTIF(Data!$AS$2:$AS$500,4)+COUNTIF(Data!$AS$2:$AS$500,5))</f>
        <v>4.3571428571428568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x14ac:dyDescent="0.25">
      <c r="A133" s="79"/>
      <c r="B133" s="153" t="s">
        <v>129</v>
      </c>
      <c r="C133" s="136"/>
      <c r="D133" s="136"/>
      <c r="E133" s="136"/>
      <c r="F133" s="137"/>
      <c r="G133" s="142"/>
      <c r="H133" s="136"/>
      <c r="I133" s="137"/>
      <c r="J133" s="80">
        <f>AVERAGE(J129:J132)</f>
        <v>4.3017083491221424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8" x14ac:dyDescent="0.25">
      <c r="B136" s="70" t="s">
        <v>166</v>
      </c>
      <c r="C136" s="65"/>
      <c r="D136" s="65"/>
      <c r="E136" s="65"/>
      <c r="F136" s="65"/>
      <c r="G136" s="5"/>
      <c r="H136" s="5"/>
      <c r="I136" s="5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31.5" x14ac:dyDescent="0.25">
      <c r="A137" s="71" t="s">
        <v>55</v>
      </c>
      <c r="B137" s="146" t="s">
        <v>111</v>
      </c>
      <c r="C137" s="136"/>
      <c r="D137" s="136"/>
      <c r="E137" s="136"/>
      <c r="F137" s="137"/>
      <c r="G137" s="146" t="s">
        <v>112</v>
      </c>
      <c r="H137" s="136"/>
      <c r="I137" s="137"/>
      <c r="J137" s="72" t="s">
        <v>113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74">
        <v>1</v>
      </c>
      <c r="B138" s="141" t="s">
        <v>167</v>
      </c>
      <c r="C138" s="136"/>
      <c r="D138" s="136"/>
      <c r="E138" s="136"/>
      <c r="F138" s="137"/>
      <c r="G138" s="142" t="s">
        <v>115</v>
      </c>
      <c r="H138" s="136"/>
      <c r="I138" s="137"/>
      <c r="J138" s="76">
        <f>((COUNTIF(Data!$AT$2:$AT$500,1)*1)+(COUNTIF(Data!$AT$2:$AT$500,2)*2)+(COUNTIF(Data!$AT$2:$AT$500,3)*3)+(COUNTIF(Data!$AT$2:$AT$500,4)*4)+(COUNTIF(Data!$AT$2:$AT$500,5)*5))/(COUNTIF(Data!$AT$2:$AT$500,1)+COUNTIF(Data!$AT$2:$AT$500,2)+COUNTIF(Data!$AT$2:$AT$500,3)+COUNTIF(Data!$AT$2:$AT$500,4)+COUNTIF(Data!$AT$2:$AT$500,5))</f>
        <v>4.9230769230769234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77">
        <v>2</v>
      </c>
      <c r="B139" s="141" t="s">
        <v>168</v>
      </c>
      <c r="C139" s="136"/>
      <c r="D139" s="136"/>
      <c r="E139" s="136"/>
      <c r="F139" s="137"/>
      <c r="G139" s="142" t="s">
        <v>115</v>
      </c>
      <c r="H139" s="136"/>
      <c r="I139" s="137"/>
      <c r="J139" s="76">
        <f>((COUNTIF(Data!$AU$2:$AU$500,1)*1)+(COUNTIF(Data!$AU$2:$AU$500,2)*2)+(COUNTIF(Data!$AU$2:$AU$500,3)*3)+(COUNTIF(Data!$AU$2:$AU$500,4)*4)+(COUNTIF(Data!$AU$2:$AU$500,5)*5))/(COUNTIF(Data!$AU$2:$AU$500,1)+COUNTIF(Data!$AU$2:$AU$500,2)+COUNTIF(Data!$AU$2:$AU$500,3)+COUNTIF(Data!$AU$2:$AU$500,4)+COUNTIF(Data!$AU$2:$AU$500,5))</f>
        <v>5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74">
        <v>3</v>
      </c>
      <c r="B140" s="141" t="s">
        <v>169</v>
      </c>
      <c r="C140" s="136"/>
      <c r="D140" s="136"/>
      <c r="E140" s="136"/>
      <c r="F140" s="137"/>
      <c r="G140" s="142" t="s">
        <v>115</v>
      </c>
      <c r="H140" s="136"/>
      <c r="I140" s="137"/>
      <c r="J140" s="76">
        <f>((COUNTIF(Data!$AV$2:$AV$500,1)*1)+(COUNTIF(Data!$AV$2:$AV$500,2)*2)+(COUNTIF(Data!$AV$2:$AV$500,3)*3)+(COUNTIF(Data!$AV$2:$AV$500,4)*4)+(COUNTIF(Data!$AV$2:$AV$500,5)*5))/(COUNTIF(Data!$AV$2:$AV$500,1)+COUNTIF(Data!$AV$2:$AV$500,2)+COUNTIF(Data!$AV$2:$AV$500,3)+COUNTIF(Data!$AV$2:$AV$500,4)+COUNTIF(Data!$AV$2:$AV$500,5))</f>
        <v>4.7037037037037033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x14ac:dyDescent="0.25">
      <c r="A141" s="77">
        <v>4</v>
      </c>
      <c r="B141" s="141" t="s">
        <v>170</v>
      </c>
      <c r="C141" s="136"/>
      <c r="D141" s="136"/>
      <c r="E141" s="136"/>
      <c r="F141" s="137"/>
      <c r="G141" s="142" t="s">
        <v>115</v>
      </c>
      <c r="H141" s="136"/>
      <c r="I141" s="137"/>
      <c r="J141" s="76">
        <f>((COUNTIF(Data!$AW$2:$AW$500,1)*1)+(COUNTIF(Data!$AW$2:$AW$500,2)*2)+(COUNTIF(Data!$AW$2:$AW$500,3)*3)+(COUNTIF(Data!$AW$2:$AW$500,4)*4)+(COUNTIF(Data!$AW$2:$AW$500,5)*5))/(COUNTIF(Data!$AW$2:$AW$500,1)+COUNTIF(Data!$AW$2:$AW$500,2)+COUNTIF(Data!$AW$2:$AW$500,3)+COUNTIF(Data!$AW$2:$AW$500,4)+COUNTIF(Data!$AW$2:$AW$500,5))</f>
        <v>4.9629629629629628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5">
      <c r="A142" s="77">
        <v>5</v>
      </c>
      <c r="B142" s="141" t="s">
        <v>171</v>
      </c>
      <c r="C142" s="136"/>
      <c r="D142" s="136"/>
      <c r="E142" s="136"/>
      <c r="F142" s="137"/>
      <c r="G142" s="142" t="s">
        <v>115</v>
      </c>
      <c r="H142" s="136"/>
      <c r="I142" s="137"/>
      <c r="J142" s="76">
        <f>((COUNTIF(Data!$AX$2:$AX$500,1)*1)+(COUNTIF(Data!$AX$2:$AX$500,2)*2)+(COUNTIF(Data!$AX$2:$AX$500,3)*3)+(COUNTIF(Data!$AX$2:$AX$500,4)*4)+(COUNTIF(Data!$AX$2:$AX$500,5)*5))/(COUNTIF(Data!$AX$2:$AX$500,1)+COUNTIF(Data!$AX$2:$AX$500,2)+COUNTIF(Data!$AX$2:$AX$500,3)+COUNTIF(Data!$AX$2:$AX$500,4)+COUNTIF(Data!$AX$2:$AX$500,5))</f>
        <v>4.9615384615384617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79"/>
      <c r="B143" s="153" t="s">
        <v>129</v>
      </c>
      <c r="C143" s="136"/>
      <c r="D143" s="136"/>
      <c r="E143" s="136"/>
      <c r="F143" s="137"/>
      <c r="G143" s="142"/>
      <c r="H143" s="136"/>
      <c r="I143" s="137"/>
      <c r="J143" s="80">
        <f>AVERAGE(J138:J142)</f>
        <v>4.9102564102564106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3.5" x14ac:dyDescent="0.25">
      <c r="B146" s="159" t="s">
        <v>172</v>
      </c>
      <c r="C146" s="134"/>
      <c r="D146" s="134"/>
      <c r="E146" s="134"/>
      <c r="F146" s="134"/>
      <c r="G146" s="134"/>
      <c r="H146" s="134"/>
      <c r="I146" s="134"/>
      <c r="J146" s="134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31.5" x14ac:dyDescent="0.25">
      <c r="A147" s="71" t="s">
        <v>55</v>
      </c>
      <c r="B147" s="146" t="s">
        <v>111</v>
      </c>
      <c r="C147" s="136"/>
      <c r="D147" s="136"/>
      <c r="E147" s="136"/>
      <c r="F147" s="137"/>
      <c r="G147" s="146" t="s">
        <v>112</v>
      </c>
      <c r="H147" s="136"/>
      <c r="I147" s="137"/>
      <c r="J147" s="72" t="s">
        <v>113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x14ac:dyDescent="0.25">
      <c r="A148" s="74">
        <v>1</v>
      </c>
      <c r="B148" s="141" t="s">
        <v>173</v>
      </c>
      <c r="C148" s="136"/>
      <c r="D148" s="136"/>
      <c r="E148" s="136"/>
      <c r="F148" s="137"/>
      <c r="G148" s="142" t="s">
        <v>174</v>
      </c>
      <c r="H148" s="136"/>
      <c r="I148" s="137"/>
      <c r="J148" s="91">
        <f>COUNTIF(Data!$L$2:$L$500,"Один раз")+COUNTIF(Data!$L$2:$L$500,"2–5 разів")+COUNTIF(Data!$L$2:$L$500,"6 разів і більше")</f>
        <v>21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5">
      <c r="A149" s="77">
        <v>2</v>
      </c>
      <c r="B149" s="141" t="s">
        <v>175</v>
      </c>
      <c r="C149" s="136"/>
      <c r="D149" s="136"/>
      <c r="E149" s="136"/>
      <c r="F149" s="137"/>
      <c r="G149" s="75" t="s">
        <v>18</v>
      </c>
      <c r="H149" s="92">
        <f>COUNTIF(Data!$AY$2:$AY$500,1)/(COUNTIF(Data!$AY$2:$AY$500,1)+COUNTIF(Data!$AY$2:$AY$500,2))</f>
        <v>0.94736842105263153</v>
      </c>
      <c r="I149" s="93" t="s">
        <v>20</v>
      </c>
      <c r="J149" s="94">
        <f>COUNTIF(Data!$AY$2:$AY$500,2)/(COUNTIF(Data!$AY$2:$AY$500,1)+COUNTIF(Data!$AY$2:$AY$500,2))</f>
        <v>5.2631578947368418E-2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74">
        <v>3</v>
      </c>
      <c r="B150" s="141" t="s">
        <v>176</v>
      </c>
      <c r="C150" s="136"/>
      <c r="D150" s="136"/>
      <c r="E150" s="136"/>
      <c r="F150" s="137"/>
      <c r="G150" s="75" t="s">
        <v>18</v>
      </c>
      <c r="H150" s="92">
        <f>COUNTIF(Data!$BA$2:$BA$500,1)/(COUNTIF(Data!$BA$2:$BA$500,1)+COUNTIF(Data!$BA$2:$BA$500,2))</f>
        <v>0.95</v>
      </c>
      <c r="I150" s="93" t="s">
        <v>20</v>
      </c>
      <c r="J150" s="94">
        <f>COUNTIF(Data!$BA$2:$BA$500,2)/(COUNTIF(Data!$BA$2:$BA$500,1)+COUNTIF(Data!$BA$2:$BA$500,2))</f>
        <v>0.05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77">
        <v>4</v>
      </c>
      <c r="B151" s="141" t="s">
        <v>177</v>
      </c>
      <c r="C151" s="136"/>
      <c r="D151" s="136"/>
      <c r="E151" s="136"/>
      <c r="F151" s="137"/>
      <c r="G151" s="75" t="s">
        <v>18</v>
      </c>
      <c r="H151" s="92">
        <f>COUNTIF(Data!$BB$2:$BB$500,1)/(COUNTIF(Data!$BB$2:$BB$500,1)+COUNTIF(Data!$BB$2:$BB$500,2))</f>
        <v>1</v>
      </c>
      <c r="I151" s="93" t="s">
        <v>20</v>
      </c>
      <c r="J151" s="94">
        <f>COUNTIF(Data!$BB$2:$BB$500,2)/(COUNTIF(Data!$BB$2:$BB$500,1)+COUNTIF(Data!$BB$2:$BB$500,2))</f>
        <v>0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74">
        <v>5</v>
      </c>
      <c r="B152" s="141" t="s">
        <v>178</v>
      </c>
      <c r="C152" s="136"/>
      <c r="D152" s="136"/>
      <c r="E152" s="136"/>
      <c r="F152" s="137"/>
      <c r="G152" s="142" t="s">
        <v>115</v>
      </c>
      <c r="H152" s="136"/>
      <c r="I152" s="137"/>
      <c r="J152" s="95">
        <f>((COUNTIF(Data!$BC$2:$BC$500,1)*1)+(COUNTIF(Data!$BC$2:$BC$500,2)*2)+(COUNTIF(Data!$BC$2:$BC$500,3)*3)+(COUNTIF(Data!$BC$2:$BC$500,4)*4)+(COUNTIF(Data!$BC$2:$BC$500,5)*5))/(COUNTIF(Data!$BC$2:$BC$500,1)+COUNTIF(Data!$BC$2:$BC$500,2)+COUNTIF(Data!$BC$2:$BC$500,3)+COUNTIF(Data!$BC$2:$BC$500,4)+COUNTIF(Data!$BC$2:$BC$500,5))</f>
        <v>4.5999999999999996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77">
        <v>6</v>
      </c>
      <c r="B153" s="141" t="s">
        <v>179</v>
      </c>
      <c r="C153" s="136"/>
      <c r="D153" s="136"/>
      <c r="E153" s="136"/>
      <c r="F153" s="137"/>
      <c r="G153" s="142" t="s">
        <v>115</v>
      </c>
      <c r="H153" s="136"/>
      <c r="I153" s="137"/>
      <c r="J153" s="95">
        <f>((COUNTIF(Data!$BD$2:$BD$500,1)*1)+(COUNTIF(Data!$BD$2:$BD$500,2)*2)+(COUNTIF(Data!$BD$2:$BD$500,3)*3)+(COUNTIF(Data!$BD$2:$BD$500,4)*4)+(COUNTIF(Data!$BD$2:$BD$500,5)*5))/(COUNTIF(Data!$BD$2:$BD$500,1)+COUNTIF(Data!$BD$2:$BD$500,2)+COUNTIF(Data!$BD$2:$BD$500,3)+COUNTIF(Data!$BD$2:$BD$500,4)+COUNTIF(Data!$BD$2:$BD$500,5))</f>
        <v>4.4000000000000004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74">
        <v>7</v>
      </c>
      <c r="B154" s="141" t="s">
        <v>180</v>
      </c>
      <c r="C154" s="136"/>
      <c r="D154" s="136"/>
      <c r="E154" s="136"/>
      <c r="F154" s="137"/>
      <c r="G154" s="142" t="s">
        <v>181</v>
      </c>
      <c r="H154" s="136"/>
      <c r="I154" s="137"/>
      <c r="J154" s="95">
        <f>((SUMIFS(Data!$BE$2:$BE$500,Data!$L$2:$L$500,"Один раз"))+(SUMIFS(Data!$BE$2:$BE$500,Data!$L$2:$L$500,"2–5 разів"))+(SUMIFS(Data!$BE$2:$BE$500,Data!$L$2:$L$500,"6 разів і більше")))/$J$148</f>
        <v>3.3333333333333335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25">
      <c r="A155" s="77">
        <v>8</v>
      </c>
      <c r="B155" s="141" t="s">
        <v>182</v>
      </c>
      <c r="C155" s="136"/>
      <c r="D155" s="136"/>
      <c r="E155" s="136"/>
      <c r="F155" s="137"/>
      <c r="G155" s="142" t="s">
        <v>181</v>
      </c>
      <c r="H155" s="136"/>
      <c r="I155" s="137"/>
      <c r="J155" s="96">
        <f>SUM(Data!$BF$2:$BF$500)/$J$148</f>
        <v>0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5">
      <c r="A156" s="74">
        <v>9</v>
      </c>
      <c r="B156" s="141" t="s">
        <v>183</v>
      </c>
      <c r="C156" s="136"/>
      <c r="D156" s="136"/>
      <c r="E156" s="136"/>
      <c r="F156" s="137"/>
      <c r="G156" s="142" t="s">
        <v>181</v>
      </c>
      <c r="H156" s="136"/>
      <c r="I156" s="137"/>
      <c r="J156" s="96">
        <f>SUM(Data!$BG$2:$BG$500)/$J$148</f>
        <v>4.1428571428571432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8.75" x14ac:dyDescent="0.3">
      <c r="B161" s="97" t="s">
        <v>184</v>
      </c>
      <c r="C161" s="7"/>
      <c r="D161" s="7"/>
      <c r="E161" s="7"/>
      <c r="F161" s="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5" x14ac:dyDescent="0.25">
      <c r="A162" s="11"/>
      <c r="B162" s="4"/>
      <c r="C162" s="4"/>
      <c r="D162" s="4"/>
      <c r="E162" s="4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3.5" x14ac:dyDescent="0.25">
      <c r="B163" s="140" t="s">
        <v>185</v>
      </c>
      <c r="C163" s="134"/>
      <c r="D163" s="134"/>
      <c r="E163" s="134"/>
      <c r="F163" s="134"/>
      <c r="G163" s="134"/>
      <c r="H163" s="134"/>
      <c r="I163" s="134"/>
      <c r="J163" s="134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4.25" x14ac:dyDescent="0.2">
      <c r="B164" s="13"/>
      <c r="C164" s="14" t="s">
        <v>4</v>
      </c>
      <c r="D164" s="15" t="s">
        <v>5</v>
      </c>
      <c r="E164" s="5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5" x14ac:dyDescent="0.25">
      <c r="B165" s="17" t="s">
        <v>18</v>
      </c>
      <c r="C165" s="19">
        <f>COUNTIF(Data!BI$2:BI$500,1)</f>
        <v>29</v>
      </c>
      <c r="D165" s="20">
        <f>C165/COUNT(Data!$A$2:$A$500)</f>
        <v>0.57999999999999996</v>
      </c>
      <c r="E165" s="5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5" x14ac:dyDescent="0.25">
      <c r="B166" s="17" t="s">
        <v>20</v>
      </c>
      <c r="C166" s="19">
        <f>COUNTIF(Data!BI$2:BI$500,2)</f>
        <v>1</v>
      </c>
      <c r="D166" s="20">
        <f>C166/COUNT(Data!$A$2:$A$500)</f>
        <v>0.02</v>
      </c>
      <c r="E166" s="5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5" x14ac:dyDescent="0.25">
      <c r="B167" s="17" t="s">
        <v>186</v>
      </c>
      <c r="C167" s="19">
        <f>COUNTIF(Data!BI$2:BI$500,9)</f>
        <v>20</v>
      </c>
      <c r="D167" s="20">
        <f>C167/COUNT(Data!$A$2:$A$500)</f>
        <v>0.4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3.5" x14ac:dyDescent="0.25">
      <c r="A169" s="6"/>
      <c r="B169" s="140" t="s">
        <v>187</v>
      </c>
      <c r="C169" s="134"/>
      <c r="D169" s="134"/>
      <c r="E169" s="134"/>
      <c r="F169" s="134"/>
      <c r="G169" s="134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5" x14ac:dyDescent="0.25">
      <c r="A170" s="6"/>
      <c r="B170" s="13"/>
      <c r="C170" s="37" t="s">
        <v>4</v>
      </c>
      <c r="D170" s="39" t="s">
        <v>5</v>
      </c>
      <c r="E170" s="4"/>
      <c r="F170" s="5"/>
      <c r="G170" s="5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98" t="s">
        <v>188</v>
      </c>
      <c r="C171" s="19">
        <f>COUNTIF(Data!BJ$2:BJ$500,"Кращі, ніж очікував (-ла)")</f>
        <v>38</v>
      </c>
      <c r="D171" s="99">
        <f>C171/COUNT(Data!$A$2:$A$500)</f>
        <v>0.76</v>
      </c>
      <c r="E171" s="4"/>
      <c r="F171" s="5"/>
      <c r="G171" s="5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98" t="s">
        <v>189</v>
      </c>
      <c r="C172" s="19">
        <f>COUNTIF(Data!BJ$2:BJ$500,"Гірші, ніж очікував (-ла)")</f>
        <v>0</v>
      </c>
      <c r="D172" s="99">
        <f>C172/COUNT(Data!$A$2:$A$500)</f>
        <v>0</v>
      </c>
      <c r="E172" s="4"/>
      <c r="F172" s="5"/>
      <c r="G172" s="5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98" t="s">
        <v>190</v>
      </c>
      <c r="C173" s="19">
        <f>COUNTIF(Data!BJ$2:BJ$500,"Відповідають очікуванням")</f>
        <v>11</v>
      </c>
      <c r="D173" s="99">
        <f>C173/COUNT(Data!$A$2:$A$500)</f>
        <v>0.22</v>
      </c>
      <c r="E173" s="4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100" t="s">
        <v>186</v>
      </c>
      <c r="C174" s="19">
        <f>COUNTIF(Data!BJ$2:BJ$500,"КН")</f>
        <v>1</v>
      </c>
      <c r="D174" s="99">
        <f>C174/COUNT(Data!$A$2:$A$500)</f>
        <v>0.02</v>
      </c>
      <c r="E174" s="4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3.5" x14ac:dyDescent="0.25">
      <c r="A176" s="6"/>
      <c r="B176" s="140" t="s">
        <v>191</v>
      </c>
      <c r="C176" s="134"/>
      <c r="D176" s="134"/>
      <c r="E176" s="134"/>
      <c r="F176" s="13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5" x14ac:dyDescent="0.25">
      <c r="A177" s="6"/>
      <c r="B177" s="13"/>
      <c r="C177" s="37" t="s">
        <v>4</v>
      </c>
      <c r="D177" s="39" t="s">
        <v>5</v>
      </c>
      <c r="E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98" t="s">
        <v>192</v>
      </c>
      <c r="C178" s="19">
        <f>COUNTIF(Data!$BK$2:$BK$500,"Покращилась значно")</f>
        <v>17</v>
      </c>
      <c r="D178" s="99">
        <f>C178/COUNT(Data!$A$2:$A$500)</f>
        <v>0.34</v>
      </c>
      <c r="E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98" t="s">
        <v>193</v>
      </c>
      <c r="C179" s="19">
        <f>COUNTIF(Data!$BK$2:$BK$500,"Покращилась несуттєво")</f>
        <v>2</v>
      </c>
      <c r="D179" s="99">
        <f>C179/COUNT(Data!$A$2:$A$500)</f>
        <v>0.04</v>
      </c>
      <c r="E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98" t="s">
        <v>194</v>
      </c>
      <c r="C180" s="19">
        <f>COUNTIF(Data!$BK$2:$BK$500,"Залишилась без змін")</f>
        <v>1</v>
      </c>
      <c r="D180" s="99">
        <f>C180/COUNT(Data!$A$2:$A$500)</f>
        <v>0.02</v>
      </c>
      <c r="E180" s="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98" t="s">
        <v>195</v>
      </c>
      <c r="C181" s="19">
        <f>COUNTIF(Data!$BK$2:$BK$500,"Дещо погіршилася")</f>
        <v>1</v>
      </c>
      <c r="D181" s="99">
        <f>C181/COUNT(Data!$A$2:$A$500)</f>
        <v>0.02</v>
      </c>
      <c r="E181" s="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98" t="s">
        <v>196</v>
      </c>
      <c r="C182" s="19">
        <f>COUNTIF(Data!$BK$2:$BK$500,"Значно погіршилася")</f>
        <v>0</v>
      </c>
      <c r="D182" s="99">
        <f>C182/COUNT(Data!$A$2:$A$500)</f>
        <v>0</v>
      </c>
      <c r="E182" s="5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98" t="s">
        <v>197</v>
      </c>
      <c r="C183" s="19">
        <f>COUNTIF(Data!$BK$2:$BK$500,"Важко сказати")</f>
        <v>7</v>
      </c>
      <c r="D183" s="99">
        <f>C183/COUNT(Data!$A$2:$A$500)</f>
        <v>0.14000000000000001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100" t="s">
        <v>186</v>
      </c>
      <c r="C184" s="19">
        <f>COUNTIF(Data!$BK$2:$BK$500,"КН")</f>
        <v>22</v>
      </c>
      <c r="D184" s="99">
        <f>C184/COUNT(Data!$A$2:$A$500)</f>
        <v>0.44</v>
      </c>
      <c r="E184" s="5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3.5" x14ac:dyDescent="0.25">
      <c r="A186" s="6"/>
      <c r="B186" s="140" t="s">
        <v>198</v>
      </c>
      <c r="C186" s="134"/>
      <c r="D186" s="134"/>
      <c r="E186" s="134"/>
      <c r="F186" s="13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5" x14ac:dyDescent="0.25">
      <c r="A187" s="6"/>
      <c r="B187" s="13"/>
      <c r="C187" s="14" t="s">
        <v>4</v>
      </c>
      <c r="D187" s="15" t="s">
        <v>5</v>
      </c>
      <c r="E187" s="4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5" x14ac:dyDescent="0.25">
      <c r="A188" s="6"/>
      <c r="B188" s="17" t="s">
        <v>18</v>
      </c>
      <c r="C188" s="19">
        <f>COUNTIF(Data!BL$2:BL$500,"Так")</f>
        <v>32</v>
      </c>
      <c r="D188" s="20">
        <f>C188/COUNT(Data!$A$2:$A$500)</f>
        <v>0.64</v>
      </c>
      <c r="E188" s="4"/>
      <c r="F188" s="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5" x14ac:dyDescent="0.25">
      <c r="A189" s="6"/>
      <c r="B189" s="17" t="s">
        <v>20</v>
      </c>
      <c r="C189" s="19">
        <f>COUNTIF(Data!BL$2:BL$500,"Ні")</f>
        <v>18</v>
      </c>
      <c r="D189" s="20">
        <f>C189/COUNT(Data!$A$2:$A$500)</f>
        <v>0.36</v>
      </c>
      <c r="E189" s="4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100" t="s">
        <v>186</v>
      </c>
      <c r="C190" s="19">
        <f>COUNTIF(Data!BL$2:BL$500,"КН")</f>
        <v>0</v>
      </c>
      <c r="D190" s="20">
        <f>C190/COUNT(Data!$A$2:$A$500)</f>
        <v>0</v>
      </c>
      <c r="E190" s="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2.75" x14ac:dyDescent="0.2">
      <c r="A191" s="6"/>
      <c r="B191" s="5"/>
      <c r="C191" s="5"/>
      <c r="D191" s="25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3.5" x14ac:dyDescent="0.25">
      <c r="A192" s="6"/>
      <c r="B192" s="140" t="s">
        <v>199</v>
      </c>
      <c r="C192" s="134"/>
      <c r="D192" s="134"/>
      <c r="E192" s="134"/>
      <c r="F192" s="13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5" x14ac:dyDescent="0.25">
      <c r="A193" s="6"/>
      <c r="B193" s="13"/>
      <c r="C193" s="14" t="s">
        <v>4</v>
      </c>
      <c r="D193" s="15" t="s">
        <v>5</v>
      </c>
      <c r="E193" s="4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5" x14ac:dyDescent="0.25">
      <c r="A194" s="6"/>
      <c r="B194" s="17" t="s">
        <v>18</v>
      </c>
      <c r="C194" s="19">
        <f>COUNTIF(Data!$BM$2:$BM$500,"Так")</f>
        <v>2</v>
      </c>
      <c r="D194" s="20">
        <f>C194/COUNT(Data!$A$2:$A$500)</f>
        <v>0.04</v>
      </c>
      <c r="E194" s="4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5" x14ac:dyDescent="0.25">
      <c r="A195" s="6"/>
      <c r="B195" s="17" t="s">
        <v>20</v>
      </c>
      <c r="C195" s="19">
        <f>COUNTIF(Data!$BM$2:$BM$500,"Ні")</f>
        <v>30</v>
      </c>
      <c r="D195" s="20">
        <f>C195/COUNT(Data!$A$2:$A$500)</f>
        <v>0.6</v>
      </c>
      <c r="E195" s="4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100" t="s">
        <v>186</v>
      </c>
      <c r="C196" s="19">
        <f>COUNTIF(Data!$BM$2:$BM$500,"КН")</f>
        <v>18</v>
      </c>
      <c r="D196" s="20">
        <f>C196/COUNT(Data!$A$2:$A$500)</f>
        <v>0.36</v>
      </c>
      <c r="E196" s="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157" t="s">
        <v>200</v>
      </c>
      <c r="C198" s="136"/>
      <c r="D198" s="47" t="s">
        <v>4</v>
      </c>
      <c r="E198" s="5"/>
      <c r="F198" s="5"/>
      <c r="G198" s="5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156">
        <v>5</v>
      </c>
      <c r="C199" s="136"/>
      <c r="D199" s="23">
        <f>COUNTIF(Data!BN$2:BN$500,5)</f>
        <v>1</v>
      </c>
      <c r="E199" s="5"/>
      <c r="F199" s="5"/>
      <c r="G199" s="5"/>
      <c r="H199" s="2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156">
        <v>4</v>
      </c>
      <c r="C200" s="136"/>
      <c r="D200" s="23">
        <f>COUNTIF(Data!BN$2:BN$500,4)</f>
        <v>1</v>
      </c>
      <c r="E200" s="5"/>
      <c r="F200" s="5"/>
      <c r="G200" s="5"/>
      <c r="H200" s="2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156">
        <v>3</v>
      </c>
      <c r="C201" s="136"/>
      <c r="D201" s="23">
        <f>COUNTIF(Data!BN$2:BN$500,3)</f>
        <v>0</v>
      </c>
      <c r="E201" s="5"/>
      <c r="F201" s="5"/>
      <c r="G201" s="5"/>
      <c r="H201" s="2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156">
        <v>2</v>
      </c>
      <c r="C202" s="136"/>
      <c r="D202" s="23">
        <f>COUNTIF(Data!BN$2:BN$500,2)</f>
        <v>0</v>
      </c>
      <c r="E202" s="5"/>
      <c r="F202" s="5"/>
      <c r="G202" s="5"/>
      <c r="H202" s="2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156">
        <v>1</v>
      </c>
      <c r="C203" s="136"/>
      <c r="D203" s="23">
        <f>COUNTIF(Data!BN$2:BN$500,1)</f>
        <v>0</v>
      </c>
      <c r="E203" s="5"/>
      <c r="F203" s="5"/>
      <c r="G203" s="5"/>
      <c r="H203" s="2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156" t="s">
        <v>186</v>
      </c>
      <c r="C204" s="136"/>
      <c r="D204" s="23">
        <f>COUNTIF(Data!BN$2:BN$500,9)</f>
        <v>48</v>
      </c>
      <c r="E204" s="5"/>
      <c r="F204" s="5"/>
      <c r="G204" s="5"/>
      <c r="H204" s="2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156" t="s">
        <v>72</v>
      </c>
      <c r="C205" s="136"/>
      <c r="D205" s="54">
        <f>((D199*5)+(D200*4)+(D201*3)+(D202*2)+(D203*1))/SUM(D199:D203)</f>
        <v>4.5</v>
      </c>
      <c r="E205" s="5"/>
      <c r="F205" s="5"/>
      <c r="G205" s="56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</sheetData>
  <mergeCells count="141">
    <mergeCell ref="G133:I133"/>
    <mergeCell ref="B156:F156"/>
    <mergeCell ref="G156:I156"/>
    <mergeCell ref="G152:I152"/>
    <mergeCell ref="G153:I153"/>
    <mergeCell ref="G143:I143"/>
    <mergeCell ref="B143:F143"/>
    <mergeCell ref="B142:F142"/>
    <mergeCell ref="B141:F141"/>
    <mergeCell ref="G142:I142"/>
    <mergeCell ref="G148:I148"/>
    <mergeCell ref="B148:F148"/>
    <mergeCell ref="B146:J146"/>
    <mergeCell ref="B152:F152"/>
    <mergeCell ref="B149:F149"/>
    <mergeCell ref="B150:F150"/>
    <mergeCell ref="B151:F151"/>
    <mergeCell ref="B154:F154"/>
    <mergeCell ref="G154:I154"/>
    <mergeCell ref="G147:I147"/>
    <mergeCell ref="G141:I141"/>
    <mergeCell ref="G106:I106"/>
    <mergeCell ref="B113:F113"/>
    <mergeCell ref="G113:I113"/>
    <mergeCell ref="B120:F120"/>
    <mergeCell ref="B122:F122"/>
    <mergeCell ref="G120:I120"/>
    <mergeCell ref="G118:I118"/>
    <mergeCell ref="G117:I117"/>
    <mergeCell ref="B119:F119"/>
    <mergeCell ref="B117:F117"/>
    <mergeCell ref="B118:F118"/>
    <mergeCell ref="G119:I119"/>
    <mergeCell ref="G109:I109"/>
    <mergeCell ref="G108:I108"/>
    <mergeCell ref="G112:I112"/>
    <mergeCell ref="G110:I110"/>
    <mergeCell ref="G122:I122"/>
    <mergeCell ref="G124:I124"/>
    <mergeCell ref="G123:I123"/>
    <mergeCell ref="B123:F123"/>
    <mergeCell ref="B124:F124"/>
    <mergeCell ref="B186:F186"/>
    <mergeCell ref="B153:F153"/>
    <mergeCell ref="B147:F147"/>
    <mergeCell ref="B163:J163"/>
    <mergeCell ref="G128:I128"/>
    <mergeCell ref="B130:F130"/>
    <mergeCell ref="B129:F129"/>
    <mergeCell ref="B128:F128"/>
    <mergeCell ref="B140:F140"/>
    <mergeCell ref="B131:F131"/>
    <mergeCell ref="B132:F132"/>
    <mergeCell ref="B133:F133"/>
    <mergeCell ref="B137:F137"/>
    <mergeCell ref="B138:F138"/>
    <mergeCell ref="G132:I132"/>
    <mergeCell ref="G129:I129"/>
    <mergeCell ref="G131:I131"/>
    <mergeCell ref="G130:I130"/>
    <mergeCell ref="G137:I137"/>
    <mergeCell ref="B176:F176"/>
    <mergeCell ref="B204:C204"/>
    <mergeCell ref="B205:C205"/>
    <mergeCell ref="B192:F192"/>
    <mergeCell ref="B200:C200"/>
    <mergeCell ref="B198:C198"/>
    <mergeCell ref="B199:C199"/>
    <mergeCell ref="B201:C201"/>
    <mergeCell ref="B202:C202"/>
    <mergeCell ref="B203:C203"/>
    <mergeCell ref="G78:I78"/>
    <mergeCell ref="B81:F81"/>
    <mergeCell ref="B78:F78"/>
    <mergeCell ref="G81:I81"/>
    <mergeCell ref="G111:I111"/>
    <mergeCell ref="B90:I90"/>
    <mergeCell ref="B98:F98"/>
    <mergeCell ref="G82:I82"/>
    <mergeCell ref="G87:I87"/>
    <mergeCell ref="G86:I86"/>
    <mergeCell ref="G85:I85"/>
    <mergeCell ref="G84:I84"/>
    <mergeCell ref="B88:F88"/>
    <mergeCell ref="B87:F87"/>
    <mergeCell ref="G88:I88"/>
    <mergeCell ref="B89:F89"/>
    <mergeCell ref="G98:I98"/>
    <mergeCell ref="G99:I99"/>
    <mergeCell ref="B97:F97"/>
    <mergeCell ref="G105:I105"/>
    <mergeCell ref="G104:I104"/>
    <mergeCell ref="G103:I103"/>
    <mergeCell ref="G107:I107"/>
    <mergeCell ref="B107:F107"/>
    <mergeCell ref="B21:D21"/>
    <mergeCell ref="B25:D25"/>
    <mergeCell ref="B86:F86"/>
    <mergeCell ref="B85:F85"/>
    <mergeCell ref="B8:D8"/>
    <mergeCell ref="B3:D3"/>
    <mergeCell ref="B11:D11"/>
    <mergeCell ref="B14:D14"/>
    <mergeCell ref="B36:D36"/>
    <mergeCell ref="B30:D30"/>
    <mergeCell ref="B82:F82"/>
    <mergeCell ref="B84:F84"/>
    <mergeCell ref="B169:G169"/>
    <mergeCell ref="B155:F155"/>
    <mergeCell ref="G155:I155"/>
    <mergeCell ref="G83:I83"/>
    <mergeCell ref="B83:F83"/>
    <mergeCell ref="G79:I79"/>
    <mergeCell ref="G80:I80"/>
    <mergeCell ref="G97:I97"/>
    <mergeCell ref="G94:I94"/>
    <mergeCell ref="G95:I95"/>
    <mergeCell ref="G96:I96"/>
    <mergeCell ref="B109:F109"/>
    <mergeCell ref="B110:F110"/>
    <mergeCell ref="G139:I139"/>
    <mergeCell ref="B139:F139"/>
    <mergeCell ref="B94:F94"/>
    <mergeCell ref="B95:F95"/>
    <mergeCell ref="B99:F99"/>
    <mergeCell ref="B103:F103"/>
    <mergeCell ref="G140:I140"/>
    <mergeCell ref="G138:I138"/>
    <mergeCell ref="B121:F121"/>
    <mergeCell ref="G121:I121"/>
    <mergeCell ref="B92:F92"/>
    <mergeCell ref="B91:F91"/>
    <mergeCell ref="B96:F96"/>
    <mergeCell ref="B80:F80"/>
    <mergeCell ref="B79:F79"/>
    <mergeCell ref="B112:F112"/>
    <mergeCell ref="B105:F105"/>
    <mergeCell ref="B104:F104"/>
    <mergeCell ref="B108:F108"/>
    <mergeCell ref="B111:F111"/>
    <mergeCell ref="B106:F1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6"/>
  <sheetViews>
    <sheetView workbookViewId="0">
      <selection activeCell="A14" sqref="A14:G14"/>
    </sheetView>
  </sheetViews>
  <sheetFormatPr defaultColWidth="14.42578125" defaultRowHeight="15.75" customHeight="1" x14ac:dyDescent="0.2"/>
  <sheetData>
    <row r="1" spans="1:7" ht="15.75" customHeight="1" x14ac:dyDescent="0.2">
      <c r="A1" s="1" t="s">
        <v>0</v>
      </c>
    </row>
    <row r="2" spans="1:7" ht="15.75" customHeight="1" x14ac:dyDescent="0.2">
      <c r="A2" s="3"/>
      <c r="B2" s="3"/>
      <c r="C2" s="3"/>
      <c r="D2" s="3"/>
      <c r="E2" s="3"/>
      <c r="F2" s="3"/>
      <c r="G2" s="3"/>
    </row>
    <row r="3" spans="1:7" ht="15.75" customHeight="1" x14ac:dyDescent="0.2">
      <c r="A3" s="160" t="str">
        <f ca="1">IFERROR(__xludf.DUMMYFUNCTION("query(Data!A2:BY500,""select BH where BH IS NOT NULL"")"),"На мою думку для покращення роботи суду необхідно укомплектувати штат.")</f>
        <v>На мою думку для покращення роботи суду необхідно укомплектувати штат.</v>
      </c>
      <c r="B3" s="134"/>
      <c r="C3" s="134"/>
      <c r="D3" s="134"/>
      <c r="E3" s="134"/>
      <c r="F3" s="134"/>
      <c r="G3" s="134"/>
    </row>
    <row r="4" spans="1:7" ht="15.75" customHeight="1" x14ac:dyDescent="0.2">
      <c r="A4" s="160" t="str">
        <f ca="1">IFERROR(__xludf.DUMMYFUNCTION("""COMPUTED_VALUE"""),"Більша кількість суддів, техніка для працівників.")</f>
        <v>Більша кількість суддів, техніка для працівників.</v>
      </c>
      <c r="B4" s="134"/>
      <c r="C4" s="134"/>
      <c r="D4" s="134"/>
      <c r="E4" s="134"/>
      <c r="F4" s="134"/>
      <c r="G4" s="134"/>
    </row>
    <row r="5" spans="1:7" ht="15.75" customHeight="1" x14ac:dyDescent="0.2">
      <c r="A5" s="160" t="str">
        <f ca="1">IFERROR(__xludf.DUMMYFUNCTION("""COMPUTED_VALUE"""),"Кімнати для представлення сторони.")</f>
        <v>Кімнати для представлення сторони.</v>
      </c>
      <c r="B5" s="134"/>
      <c r="C5" s="134"/>
      <c r="D5" s="134"/>
      <c r="E5" s="134"/>
      <c r="F5" s="134"/>
      <c r="G5" s="134"/>
    </row>
    <row r="6" spans="1:7" ht="15.75" customHeight="1" x14ac:dyDescent="0.2">
      <c r="A6" s="160" t="str">
        <f ca="1">IFERROR(__xludf.DUMMYFUNCTION("""COMPUTED_VALUE"""),"Важко сказати")</f>
        <v>Важко сказати</v>
      </c>
      <c r="B6" s="134"/>
      <c r="C6" s="134"/>
      <c r="D6" s="134"/>
      <c r="E6" s="134"/>
      <c r="F6" s="134"/>
      <c r="G6" s="134"/>
    </row>
    <row r="7" spans="1:7" ht="15.75" customHeight="1" x14ac:dyDescent="0.2">
      <c r="A7" s="160" t="str">
        <f ca="1">IFERROR(__xludf.DUMMYFUNCTION("""COMPUTED_VALUE"""),"Цілковита автоматизованість судової системи.")</f>
        <v>Цілковита автоматизованість судової системи.</v>
      </c>
      <c r="B7" s="134"/>
      <c r="C7" s="134"/>
      <c r="D7" s="134"/>
      <c r="E7" s="134"/>
      <c r="F7" s="134"/>
      <c r="G7" s="134"/>
    </row>
    <row r="8" spans="1:7" ht="15.75" customHeight="1" x14ac:dyDescent="0.2">
      <c r="A8" s="160"/>
      <c r="B8" s="134"/>
      <c r="C8" s="134"/>
      <c r="D8" s="134"/>
      <c r="E8" s="134"/>
      <c r="F8" s="134"/>
      <c r="G8" s="134"/>
    </row>
    <row r="9" spans="1:7" ht="15.75" customHeight="1" x14ac:dyDescent="0.2">
      <c r="A9" s="160"/>
      <c r="B9" s="134"/>
      <c r="C9" s="134"/>
      <c r="D9" s="134"/>
      <c r="E9" s="134"/>
      <c r="F9" s="134"/>
      <c r="G9" s="134"/>
    </row>
    <row r="10" spans="1:7" ht="15.75" customHeight="1" x14ac:dyDescent="0.2">
      <c r="A10" s="160"/>
      <c r="B10" s="134"/>
      <c r="C10" s="134"/>
      <c r="D10" s="134"/>
      <c r="E10" s="134"/>
      <c r="F10" s="134"/>
      <c r="G10" s="134"/>
    </row>
    <row r="11" spans="1:7" ht="15.75" customHeight="1" x14ac:dyDescent="0.2">
      <c r="A11" s="160"/>
      <c r="B11" s="134"/>
      <c r="C11" s="134"/>
      <c r="D11" s="134"/>
      <c r="E11" s="134"/>
      <c r="F11" s="134"/>
      <c r="G11" s="134"/>
    </row>
    <row r="12" spans="1:7" ht="15.75" customHeight="1" x14ac:dyDescent="0.2">
      <c r="A12" s="160"/>
      <c r="B12" s="134"/>
      <c r="C12" s="134"/>
      <c r="D12" s="134"/>
      <c r="E12" s="134"/>
      <c r="F12" s="134"/>
      <c r="G12" s="134"/>
    </row>
    <row r="13" spans="1:7" ht="15.75" customHeight="1" x14ac:dyDescent="0.2">
      <c r="A13" s="160"/>
      <c r="B13" s="134"/>
      <c r="C13" s="134"/>
      <c r="D13" s="134"/>
      <c r="E13" s="134"/>
      <c r="F13" s="134"/>
      <c r="G13" s="134"/>
    </row>
    <row r="14" spans="1:7" ht="15.75" customHeight="1" x14ac:dyDescent="0.2">
      <c r="A14" s="160"/>
      <c r="B14" s="134"/>
      <c r="C14" s="134"/>
      <c r="D14" s="134"/>
      <c r="E14" s="134"/>
      <c r="F14" s="134"/>
      <c r="G14" s="134"/>
    </row>
    <row r="15" spans="1:7" ht="15.75" customHeight="1" x14ac:dyDescent="0.2">
      <c r="A15" s="160"/>
      <c r="B15" s="134"/>
      <c r="C15" s="134"/>
      <c r="D15" s="134"/>
      <c r="E15" s="134"/>
      <c r="F15" s="134"/>
      <c r="G15" s="134"/>
    </row>
    <row r="16" spans="1:7" ht="15.75" customHeight="1" x14ac:dyDescent="0.2">
      <c r="A16" s="160"/>
      <c r="B16" s="134"/>
      <c r="C16" s="134"/>
      <c r="D16" s="134"/>
      <c r="E16" s="134"/>
      <c r="F16" s="134"/>
      <c r="G16" s="134"/>
    </row>
    <row r="17" spans="1:7" ht="15.75" customHeight="1" x14ac:dyDescent="0.2">
      <c r="A17" s="160"/>
      <c r="B17" s="134"/>
      <c r="C17" s="134"/>
      <c r="D17" s="134"/>
      <c r="E17" s="134"/>
      <c r="F17" s="134"/>
      <c r="G17" s="134"/>
    </row>
    <row r="18" spans="1:7" ht="15.75" customHeight="1" x14ac:dyDescent="0.2">
      <c r="A18" s="160"/>
      <c r="B18" s="134"/>
      <c r="C18" s="134"/>
      <c r="D18" s="134"/>
      <c r="E18" s="134"/>
      <c r="F18" s="134"/>
      <c r="G18" s="134"/>
    </row>
    <row r="19" spans="1:7" ht="15.75" customHeight="1" x14ac:dyDescent="0.2">
      <c r="A19" s="160"/>
      <c r="B19" s="134"/>
      <c r="C19" s="134"/>
      <c r="D19" s="134"/>
      <c r="E19" s="134"/>
      <c r="F19" s="134"/>
      <c r="G19" s="134"/>
    </row>
    <row r="20" spans="1:7" ht="15.75" customHeight="1" x14ac:dyDescent="0.2">
      <c r="A20" s="160"/>
      <c r="B20" s="134"/>
      <c r="C20" s="134"/>
      <c r="D20" s="134"/>
      <c r="E20" s="134"/>
      <c r="F20" s="134"/>
      <c r="G20" s="134"/>
    </row>
    <row r="21" spans="1:7" ht="15.75" customHeight="1" x14ac:dyDescent="0.2">
      <c r="A21" s="160"/>
      <c r="B21" s="134"/>
      <c r="C21" s="134"/>
      <c r="D21" s="134"/>
      <c r="E21" s="134"/>
      <c r="F21" s="134"/>
      <c r="G21" s="134"/>
    </row>
    <row r="22" spans="1:7" ht="15.75" customHeight="1" x14ac:dyDescent="0.2">
      <c r="A22" s="160"/>
      <c r="B22" s="134"/>
      <c r="C22" s="134"/>
      <c r="D22" s="134"/>
      <c r="E22" s="134"/>
      <c r="F22" s="134"/>
      <c r="G22" s="134"/>
    </row>
    <row r="23" spans="1:7" ht="12.75" x14ac:dyDescent="0.2">
      <c r="A23" s="160"/>
      <c r="B23" s="134"/>
      <c r="C23" s="134"/>
      <c r="D23" s="134"/>
      <c r="E23" s="134"/>
      <c r="F23" s="134"/>
      <c r="G23" s="134"/>
    </row>
    <row r="24" spans="1:7" ht="12.75" x14ac:dyDescent="0.2">
      <c r="A24" s="160"/>
      <c r="B24" s="134"/>
      <c r="C24" s="134"/>
      <c r="D24" s="134"/>
      <c r="E24" s="134"/>
      <c r="F24" s="134"/>
      <c r="G24" s="134"/>
    </row>
    <row r="25" spans="1:7" ht="12.75" x14ac:dyDescent="0.2">
      <c r="A25" s="160"/>
      <c r="B25" s="134"/>
      <c r="C25" s="134"/>
      <c r="D25" s="134"/>
      <c r="E25" s="134"/>
      <c r="F25" s="134"/>
      <c r="G25" s="134"/>
    </row>
    <row r="26" spans="1:7" ht="12.75" x14ac:dyDescent="0.2">
      <c r="A26" s="160"/>
      <c r="B26" s="134"/>
      <c r="C26" s="134"/>
      <c r="D26" s="134"/>
      <c r="E26" s="134"/>
      <c r="F26" s="134"/>
      <c r="G26" s="134"/>
    </row>
    <row r="27" spans="1:7" ht="12.75" x14ac:dyDescent="0.2">
      <c r="A27" s="160"/>
      <c r="B27" s="134"/>
      <c r="C27" s="134"/>
      <c r="D27" s="134"/>
      <c r="E27" s="134"/>
      <c r="F27" s="134"/>
      <c r="G27" s="134"/>
    </row>
    <row r="28" spans="1:7" ht="12.75" x14ac:dyDescent="0.2">
      <c r="A28" s="160"/>
      <c r="B28" s="134"/>
      <c r="C28" s="134"/>
      <c r="D28" s="134"/>
      <c r="E28" s="134"/>
      <c r="F28" s="134"/>
      <c r="G28" s="134"/>
    </row>
    <row r="29" spans="1:7" ht="12.75" x14ac:dyDescent="0.2">
      <c r="A29" s="160"/>
      <c r="B29" s="134"/>
      <c r="C29" s="134"/>
      <c r="D29" s="134"/>
      <c r="E29" s="134"/>
      <c r="F29" s="134"/>
      <c r="G29" s="134"/>
    </row>
    <row r="30" spans="1:7" ht="12.75" x14ac:dyDescent="0.2">
      <c r="A30" s="160"/>
      <c r="B30" s="134"/>
      <c r="C30" s="134"/>
      <c r="D30" s="134"/>
      <c r="E30" s="134"/>
      <c r="F30" s="134"/>
      <c r="G30" s="134"/>
    </row>
    <row r="31" spans="1:7" ht="12.75" x14ac:dyDescent="0.2">
      <c r="A31" s="160"/>
      <c r="B31" s="134"/>
      <c r="C31" s="134"/>
      <c r="D31" s="134"/>
      <c r="E31" s="134"/>
      <c r="F31" s="134"/>
      <c r="G31" s="134"/>
    </row>
    <row r="32" spans="1:7" ht="12.75" x14ac:dyDescent="0.2">
      <c r="A32" s="160"/>
      <c r="B32" s="134"/>
      <c r="C32" s="134"/>
      <c r="D32" s="134"/>
      <c r="E32" s="134"/>
      <c r="F32" s="134"/>
      <c r="G32" s="134"/>
    </row>
    <row r="33" spans="1:7" ht="12.75" x14ac:dyDescent="0.2">
      <c r="A33" s="160"/>
      <c r="B33" s="134"/>
      <c r="C33" s="134"/>
      <c r="D33" s="134"/>
      <c r="E33" s="134"/>
      <c r="F33" s="134"/>
      <c r="G33" s="134"/>
    </row>
    <row r="34" spans="1:7" ht="12.75" x14ac:dyDescent="0.2">
      <c r="A34" s="160"/>
      <c r="B34" s="134"/>
      <c r="C34" s="134"/>
      <c r="D34" s="134"/>
      <c r="E34" s="134"/>
      <c r="F34" s="134"/>
      <c r="G34" s="134"/>
    </row>
    <row r="35" spans="1:7" ht="12.75" x14ac:dyDescent="0.2">
      <c r="A35" s="160"/>
      <c r="B35" s="134"/>
      <c r="C35" s="134"/>
      <c r="D35" s="134"/>
      <c r="E35" s="134"/>
      <c r="F35" s="134"/>
      <c r="G35" s="134"/>
    </row>
    <row r="36" spans="1:7" ht="12.75" x14ac:dyDescent="0.2">
      <c r="A36" s="160"/>
      <c r="B36" s="134"/>
      <c r="C36" s="134"/>
      <c r="D36" s="134"/>
      <c r="E36" s="134"/>
      <c r="F36" s="134"/>
      <c r="G36" s="134"/>
    </row>
    <row r="37" spans="1:7" ht="12.75" x14ac:dyDescent="0.2">
      <c r="A37" s="160"/>
      <c r="B37" s="134"/>
      <c r="C37" s="134"/>
      <c r="D37" s="134"/>
      <c r="E37" s="134"/>
      <c r="F37" s="134"/>
      <c r="G37" s="134"/>
    </row>
    <row r="38" spans="1:7" ht="12.75" x14ac:dyDescent="0.2">
      <c r="A38" s="160"/>
      <c r="B38" s="134"/>
      <c r="C38" s="134"/>
      <c r="D38" s="134"/>
      <c r="E38" s="134"/>
      <c r="F38" s="134"/>
      <c r="G38" s="134"/>
    </row>
    <row r="39" spans="1:7" ht="12.75" x14ac:dyDescent="0.2">
      <c r="A39" s="160"/>
      <c r="B39" s="134"/>
      <c r="C39" s="134"/>
      <c r="D39" s="134"/>
      <c r="E39" s="134"/>
      <c r="F39" s="134"/>
      <c r="G39" s="134"/>
    </row>
    <row r="40" spans="1:7" ht="12.75" x14ac:dyDescent="0.2">
      <c r="A40" s="160"/>
      <c r="B40" s="134"/>
      <c r="C40" s="134"/>
      <c r="D40" s="134"/>
      <c r="E40" s="134"/>
      <c r="F40" s="134"/>
      <c r="G40" s="134"/>
    </row>
    <row r="41" spans="1:7" ht="12.75" x14ac:dyDescent="0.2">
      <c r="A41" s="160"/>
      <c r="B41" s="134"/>
      <c r="C41" s="134"/>
      <c r="D41" s="134"/>
      <c r="E41" s="134"/>
      <c r="F41" s="134"/>
      <c r="G41" s="134"/>
    </row>
    <row r="42" spans="1:7" ht="12.75" x14ac:dyDescent="0.2">
      <c r="A42" s="160"/>
      <c r="B42" s="134"/>
      <c r="C42" s="134"/>
      <c r="D42" s="134"/>
      <c r="E42" s="134"/>
      <c r="F42" s="134"/>
      <c r="G42" s="134"/>
    </row>
    <row r="43" spans="1:7" ht="12.75" x14ac:dyDescent="0.2">
      <c r="A43" s="160"/>
      <c r="B43" s="134"/>
      <c r="C43" s="134"/>
      <c r="D43" s="134"/>
      <c r="E43" s="134"/>
      <c r="F43" s="134"/>
      <c r="G43" s="134"/>
    </row>
    <row r="44" spans="1:7" ht="12.75" x14ac:dyDescent="0.2">
      <c r="A44" s="160"/>
      <c r="B44" s="134"/>
      <c r="C44" s="134"/>
      <c r="D44" s="134"/>
      <c r="E44" s="134"/>
      <c r="F44" s="134"/>
      <c r="G44" s="134"/>
    </row>
    <row r="45" spans="1:7" ht="12.75" x14ac:dyDescent="0.2">
      <c r="A45" s="160"/>
      <c r="B45" s="134"/>
      <c r="C45" s="134"/>
      <c r="D45" s="134"/>
      <c r="E45" s="134"/>
      <c r="F45" s="134"/>
      <c r="G45" s="134"/>
    </row>
    <row r="46" spans="1:7" ht="12.75" x14ac:dyDescent="0.2">
      <c r="A46" s="160"/>
      <c r="B46" s="134"/>
      <c r="C46" s="134"/>
      <c r="D46" s="134"/>
      <c r="E46" s="134"/>
      <c r="F46" s="134"/>
      <c r="G46" s="134"/>
    </row>
    <row r="47" spans="1:7" ht="12.75" x14ac:dyDescent="0.2">
      <c r="A47" s="160"/>
      <c r="B47" s="134"/>
      <c r="C47" s="134"/>
      <c r="D47" s="134"/>
      <c r="E47" s="134"/>
      <c r="F47" s="134"/>
      <c r="G47" s="134"/>
    </row>
    <row r="48" spans="1:7" ht="12.75" x14ac:dyDescent="0.2">
      <c r="A48" s="160"/>
      <c r="B48" s="134"/>
      <c r="C48" s="134"/>
      <c r="D48" s="134"/>
      <c r="E48" s="134"/>
      <c r="F48" s="134"/>
      <c r="G48" s="134"/>
    </row>
    <row r="49" spans="1:7" ht="12.75" x14ac:dyDescent="0.2">
      <c r="A49" s="160"/>
      <c r="B49" s="134"/>
      <c r="C49" s="134"/>
      <c r="D49" s="134"/>
      <c r="E49" s="134"/>
      <c r="F49" s="134"/>
      <c r="G49" s="134"/>
    </row>
    <row r="50" spans="1:7" ht="12.75" x14ac:dyDescent="0.2">
      <c r="A50" s="160"/>
      <c r="B50" s="134"/>
      <c r="C50" s="134"/>
      <c r="D50" s="134"/>
      <c r="E50" s="134"/>
      <c r="F50" s="134"/>
      <c r="G50" s="134"/>
    </row>
    <row r="51" spans="1:7" ht="12.75" x14ac:dyDescent="0.2">
      <c r="A51" s="160"/>
      <c r="B51" s="134"/>
      <c r="C51" s="134"/>
      <c r="D51" s="134"/>
      <c r="E51" s="134"/>
      <c r="F51" s="134"/>
      <c r="G51" s="134"/>
    </row>
    <row r="52" spans="1:7" ht="12.75" x14ac:dyDescent="0.2">
      <c r="A52" s="160"/>
      <c r="B52" s="134"/>
      <c r="C52" s="134"/>
      <c r="D52" s="134"/>
      <c r="E52" s="134"/>
      <c r="F52" s="134"/>
      <c r="G52" s="134"/>
    </row>
    <row r="53" spans="1:7" ht="12.75" x14ac:dyDescent="0.2">
      <c r="A53" s="160"/>
      <c r="B53" s="134"/>
      <c r="C53" s="134"/>
      <c r="D53" s="134"/>
      <c r="E53" s="134"/>
      <c r="F53" s="134"/>
      <c r="G53" s="134"/>
    </row>
    <row r="54" spans="1:7" ht="12.75" x14ac:dyDescent="0.2">
      <c r="A54" s="160"/>
      <c r="B54" s="134"/>
      <c r="C54" s="134"/>
      <c r="D54" s="134"/>
      <c r="E54" s="134"/>
      <c r="F54" s="134"/>
      <c r="G54" s="134"/>
    </row>
    <row r="55" spans="1:7" ht="12.75" x14ac:dyDescent="0.2">
      <c r="A55" s="160"/>
      <c r="B55" s="134"/>
      <c r="C55" s="134"/>
      <c r="D55" s="134"/>
      <c r="E55" s="134"/>
      <c r="F55" s="134"/>
      <c r="G55" s="134"/>
    </row>
    <row r="56" spans="1:7" ht="12.75" x14ac:dyDescent="0.2">
      <c r="A56" s="160"/>
      <c r="B56" s="134"/>
      <c r="C56" s="134"/>
      <c r="D56" s="134"/>
      <c r="E56" s="134"/>
      <c r="F56" s="134"/>
      <c r="G56" s="134"/>
    </row>
    <row r="57" spans="1:7" ht="12.75" x14ac:dyDescent="0.2">
      <c r="A57" s="160"/>
      <c r="B57" s="134"/>
      <c r="C57" s="134"/>
      <c r="D57" s="134"/>
      <c r="E57" s="134"/>
      <c r="F57" s="134"/>
      <c r="G57" s="134"/>
    </row>
    <row r="58" spans="1:7" ht="12.75" x14ac:dyDescent="0.2">
      <c r="A58" s="160"/>
      <c r="B58" s="134"/>
      <c r="C58" s="134"/>
      <c r="D58" s="134"/>
      <c r="E58" s="134"/>
      <c r="F58" s="134"/>
      <c r="G58" s="134"/>
    </row>
    <row r="59" spans="1:7" ht="12.75" x14ac:dyDescent="0.2">
      <c r="A59" s="160"/>
      <c r="B59" s="134"/>
      <c r="C59" s="134"/>
      <c r="D59" s="134"/>
      <c r="E59" s="134"/>
      <c r="F59" s="134"/>
      <c r="G59" s="134"/>
    </row>
    <row r="60" spans="1:7" ht="12.75" x14ac:dyDescent="0.2">
      <c r="A60" s="160"/>
      <c r="B60" s="134"/>
      <c r="C60" s="134"/>
      <c r="D60" s="134"/>
      <c r="E60" s="134"/>
      <c r="F60" s="134"/>
      <c r="G60" s="134"/>
    </row>
    <row r="61" spans="1:7" ht="12.75" x14ac:dyDescent="0.2">
      <c r="A61" s="160"/>
      <c r="B61" s="134"/>
      <c r="C61" s="134"/>
      <c r="D61" s="134"/>
      <c r="E61" s="134"/>
      <c r="F61" s="134"/>
      <c r="G61" s="134"/>
    </row>
    <row r="62" spans="1:7" ht="12.75" x14ac:dyDescent="0.2">
      <c r="A62" s="160"/>
      <c r="B62" s="134"/>
      <c r="C62" s="134"/>
      <c r="D62" s="134"/>
      <c r="E62" s="134"/>
      <c r="F62" s="134"/>
      <c r="G62" s="134"/>
    </row>
    <row r="63" spans="1:7" ht="12.75" x14ac:dyDescent="0.2">
      <c r="A63" s="160"/>
      <c r="B63" s="134"/>
      <c r="C63" s="134"/>
      <c r="D63" s="134"/>
      <c r="E63" s="134"/>
      <c r="F63" s="134"/>
      <c r="G63" s="134"/>
    </row>
    <row r="64" spans="1:7" ht="12.75" x14ac:dyDescent="0.2">
      <c r="A64" s="160"/>
      <c r="B64" s="134"/>
      <c r="C64" s="134"/>
      <c r="D64" s="134"/>
      <c r="E64" s="134"/>
      <c r="F64" s="134"/>
      <c r="G64" s="134"/>
    </row>
    <row r="65" spans="1:7" ht="12.75" x14ac:dyDescent="0.2">
      <c r="A65" s="160"/>
      <c r="B65" s="134"/>
      <c r="C65" s="134"/>
      <c r="D65" s="134"/>
      <c r="E65" s="134"/>
      <c r="F65" s="134"/>
      <c r="G65" s="134"/>
    </row>
    <row r="66" spans="1:7" ht="12.75" x14ac:dyDescent="0.2">
      <c r="A66" s="160"/>
      <c r="B66" s="134"/>
      <c r="C66" s="134"/>
      <c r="D66" s="134"/>
      <c r="E66" s="134"/>
      <c r="F66" s="134"/>
      <c r="G66" s="134"/>
    </row>
    <row r="67" spans="1:7" ht="12.75" x14ac:dyDescent="0.2">
      <c r="A67" s="160"/>
      <c r="B67" s="134"/>
      <c r="C67" s="134"/>
      <c r="D67" s="134"/>
      <c r="E67" s="134"/>
      <c r="F67" s="134"/>
      <c r="G67" s="134"/>
    </row>
    <row r="68" spans="1:7" ht="12.75" x14ac:dyDescent="0.2">
      <c r="A68" s="160"/>
      <c r="B68" s="134"/>
      <c r="C68" s="134"/>
      <c r="D68" s="134"/>
      <c r="E68" s="134"/>
      <c r="F68" s="134"/>
      <c r="G68" s="134"/>
    </row>
    <row r="69" spans="1:7" ht="12.75" x14ac:dyDescent="0.2">
      <c r="A69" s="160"/>
      <c r="B69" s="134"/>
      <c r="C69" s="134"/>
      <c r="D69" s="134"/>
      <c r="E69" s="134"/>
      <c r="F69" s="134"/>
      <c r="G69" s="134"/>
    </row>
    <row r="70" spans="1:7" ht="12.75" x14ac:dyDescent="0.2">
      <c r="A70" s="160"/>
      <c r="B70" s="134"/>
      <c r="C70" s="134"/>
      <c r="D70" s="134"/>
      <c r="E70" s="134"/>
      <c r="F70" s="134"/>
      <c r="G70" s="134"/>
    </row>
    <row r="71" spans="1:7" ht="12.75" x14ac:dyDescent="0.2">
      <c r="A71" s="160"/>
      <c r="B71" s="134"/>
      <c r="C71" s="134"/>
      <c r="D71" s="134"/>
      <c r="E71" s="134"/>
      <c r="F71" s="134"/>
      <c r="G71" s="134"/>
    </row>
    <row r="72" spans="1:7" ht="12.75" x14ac:dyDescent="0.2">
      <c r="A72" s="160"/>
      <c r="B72" s="134"/>
      <c r="C72" s="134"/>
      <c r="D72" s="134"/>
      <c r="E72" s="134"/>
      <c r="F72" s="134"/>
      <c r="G72" s="134"/>
    </row>
    <row r="73" spans="1:7" ht="12.75" x14ac:dyDescent="0.2">
      <c r="A73" s="160"/>
      <c r="B73" s="134"/>
      <c r="C73" s="134"/>
      <c r="D73" s="134"/>
      <c r="E73" s="134"/>
      <c r="F73" s="134"/>
      <c r="G73" s="134"/>
    </row>
    <row r="74" spans="1:7" ht="12.75" x14ac:dyDescent="0.2">
      <c r="A74" s="160"/>
      <c r="B74" s="134"/>
      <c r="C74" s="134"/>
      <c r="D74" s="134"/>
      <c r="E74" s="134"/>
      <c r="F74" s="134"/>
      <c r="G74" s="134"/>
    </row>
    <row r="75" spans="1:7" ht="12.75" x14ac:dyDescent="0.2">
      <c r="A75" s="160"/>
      <c r="B75" s="134"/>
      <c r="C75" s="134"/>
      <c r="D75" s="134"/>
      <c r="E75" s="134"/>
      <c r="F75" s="134"/>
      <c r="G75" s="134"/>
    </row>
    <row r="76" spans="1:7" ht="12.75" x14ac:dyDescent="0.2">
      <c r="A76" s="160"/>
      <c r="B76" s="134"/>
      <c r="C76" s="134"/>
      <c r="D76" s="134"/>
      <c r="E76" s="134"/>
      <c r="F76" s="134"/>
      <c r="G76" s="134"/>
    </row>
    <row r="77" spans="1:7" ht="12.75" x14ac:dyDescent="0.2">
      <c r="A77" s="160"/>
      <c r="B77" s="134"/>
      <c r="C77" s="134"/>
      <c r="D77" s="134"/>
      <c r="E77" s="134"/>
      <c r="F77" s="134"/>
      <c r="G77" s="134"/>
    </row>
    <row r="78" spans="1:7" ht="12.75" x14ac:dyDescent="0.2">
      <c r="A78" s="160"/>
      <c r="B78" s="134"/>
      <c r="C78" s="134"/>
      <c r="D78" s="134"/>
      <c r="E78" s="134"/>
      <c r="F78" s="134"/>
      <c r="G78" s="134"/>
    </row>
    <row r="79" spans="1:7" ht="12.75" x14ac:dyDescent="0.2">
      <c r="A79" s="160"/>
      <c r="B79" s="134"/>
      <c r="C79" s="134"/>
      <c r="D79" s="134"/>
      <c r="E79" s="134"/>
      <c r="F79" s="134"/>
      <c r="G79" s="134"/>
    </row>
    <row r="80" spans="1:7" ht="12.75" x14ac:dyDescent="0.2">
      <c r="A80" s="160"/>
      <c r="B80" s="134"/>
      <c r="C80" s="134"/>
      <c r="D80" s="134"/>
      <c r="E80" s="134"/>
      <c r="F80" s="134"/>
      <c r="G80" s="134"/>
    </row>
    <row r="81" spans="1:7" ht="12.75" x14ac:dyDescent="0.2">
      <c r="A81" s="160"/>
      <c r="B81" s="134"/>
      <c r="C81" s="134"/>
      <c r="D81" s="134"/>
      <c r="E81" s="134"/>
      <c r="F81" s="134"/>
      <c r="G81" s="134"/>
    </row>
    <row r="82" spans="1:7" ht="12.75" x14ac:dyDescent="0.2">
      <c r="A82" s="160"/>
      <c r="B82" s="134"/>
      <c r="C82" s="134"/>
      <c r="D82" s="134"/>
      <c r="E82" s="134"/>
      <c r="F82" s="134"/>
      <c r="G82" s="134"/>
    </row>
    <row r="83" spans="1:7" ht="12.75" x14ac:dyDescent="0.2">
      <c r="A83" s="160"/>
      <c r="B83" s="134"/>
      <c r="C83" s="134"/>
      <c r="D83" s="134"/>
      <c r="E83" s="134"/>
      <c r="F83" s="134"/>
      <c r="G83" s="134"/>
    </row>
    <row r="84" spans="1:7" ht="12.75" x14ac:dyDescent="0.2">
      <c r="A84" s="160"/>
      <c r="B84" s="134"/>
      <c r="C84" s="134"/>
      <c r="D84" s="134"/>
      <c r="E84" s="134"/>
      <c r="F84" s="134"/>
      <c r="G84" s="134"/>
    </row>
    <row r="85" spans="1:7" ht="12.75" x14ac:dyDescent="0.2">
      <c r="A85" s="160"/>
      <c r="B85" s="134"/>
      <c r="C85" s="134"/>
      <c r="D85" s="134"/>
      <c r="E85" s="134"/>
      <c r="F85" s="134"/>
      <c r="G85" s="134"/>
    </row>
    <row r="86" spans="1:7" ht="12.75" x14ac:dyDescent="0.2">
      <c r="A86" s="160"/>
      <c r="B86" s="134"/>
      <c r="C86" s="134"/>
      <c r="D86" s="134"/>
      <c r="E86" s="134"/>
      <c r="F86" s="134"/>
      <c r="G86" s="134"/>
    </row>
    <row r="87" spans="1:7" ht="12.75" x14ac:dyDescent="0.2">
      <c r="A87" s="160"/>
      <c r="B87" s="134"/>
      <c r="C87" s="134"/>
      <c r="D87" s="134"/>
      <c r="E87" s="134"/>
      <c r="F87" s="134"/>
      <c r="G87" s="134"/>
    </row>
    <row r="88" spans="1:7" ht="12.75" x14ac:dyDescent="0.2">
      <c r="A88" s="160"/>
      <c r="B88" s="134"/>
      <c r="C88" s="134"/>
      <c r="D88" s="134"/>
      <c r="E88" s="134"/>
      <c r="F88" s="134"/>
      <c r="G88" s="134"/>
    </row>
    <row r="89" spans="1:7" ht="12.75" x14ac:dyDescent="0.2">
      <c r="A89" s="160"/>
      <c r="B89" s="134"/>
      <c r="C89" s="134"/>
      <c r="D89" s="134"/>
      <c r="E89" s="134"/>
      <c r="F89" s="134"/>
      <c r="G89" s="134"/>
    </row>
    <row r="90" spans="1:7" ht="12.75" x14ac:dyDescent="0.2">
      <c r="A90" s="160"/>
      <c r="B90" s="134"/>
      <c r="C90" s="134"/>
      <c r="D90" s="134"/>
      <c r="E90" s="134"/>
      <c r="F90" s="134"/>
      <c r="G90" s="134"/>
    </row>
    <row r="91" spans="1:7" ht="12.75" x14ac:dyDescent="0.2">
      <c r="A91" s="160"/>
      <c r="B91" s="134"/>
      <c r="C91" s="134"/>
      <c r="D91" s="134"/>
      <c r="E91" s="134"/>
      <c r="F91" s="134"/>
      <c r="G91" s="134"/>
    </row>
    <row r="92" spans="1:7" ht="12.75" x14ac:dyDescent="0.2">
      <c r="A92" s="160"/>
      <c r="B92" s="134"/>
      <c r="C92" s="134"/>
      <c r="D92" s="134"/>
      <c r="E92" s="134"/>
      <c r="F92" s="134"/>
      <c r="G92" s="134"/>
    </row>
    <row r="93" spans="1:7" ht="12.75" x14ac:dyDescent="0.2">
      <c r="A93" s="160"/>
      <c r="B93" s="134"/>
      <c r="C93" s="134"/>
      <c r="D93" s="134"/>
      <c r="E93" s="134"/>
      <c r="F93" s="134"/>
      <c r="G93" s="134"/>
    </row>
    <row r="94" spans="1:7" ht="12.75" x14ac:dyDescent="0.2">
      <c r="A94" s="160"/>
      <c r="B94" s="134"/>
      <c r="C94" s="134"/>
      <c r="D94" s="134"/>
      <c r="E94" s="134"/>
      <c r="F94" s="134"/>
      <c r="G94" s="134"/>
    </row>
    <row r="95" spans="1:7" ht="12.75" x14ac:dyDescent="0.2">
      <c r="A95" s="160"/>
      <c r="B95" s="134"/>
      <c r="C95" s="134"/>
      <c r="D95" s="134"/>
      <c r="E95" s="134"/>
      <c r="F95" s="134"/>
      <c r="G95" s="134"/>
    </row>
    <row r="96" spans="1:7" ht="12.75" x14ac:dyDescent="0.2">
      <c r="A96" s="160"/>
      <c r="B96" s="134"/>
      <c r="C96" s="134"/>
      <c r="D96" s="134"/>
      <c r="E96" s="134"/>
      <c r="F96" s="134"/>
      <c r="G96" s="134"/>
    </row>
    <row r="97" spans="1:7" ht="12.75" x14ac:dyDescent="0.2">
      <c r="A97" s="160"/>
      <c r="B97" s="134"/>
      <c r="C97" s="134"/>
      <c r="D97" s="134"/>
      <c r="E97" s="134"/>
      <c r="F97" s="134"/>
      <c r="G97" s="134"/>
    </row>
    <row r="98" spans="1:7" ht="12.75" x14ac:dyDescent="0.2">
      <c r="A98" s="160"/>
      <c r="B98" s="134"/>
      <c r="C98" s="134"/>
      <c r="D98" s="134"/>
      <c r="E98" s="134"/>
      <c r="F98" s="134"/>
      <c r="G98" s="134"/>
    </row>
    <row r="99" spans="1:7" ht="12.75" x14ac:dyDescent="0.2">
      <c r="A99" s="160"/>
      <c r="B99" s="134"/>
      <c r="C99" s="134"/>
      <c r="D99" s="134"/>
      <c r="E99" s="134"/>
      <c r="F99" s="134"/>
      <c r="G99" s="134"/>
    </row>
    <row r="100" spans="1:7" ht="12.75" x14ac:dyDescent="0.2">
      <c r="A100" s="160"/>
      <c r="B100" s="134"/>
      <c r="C100" s="134"/>
      <c r="D100" s="134"/>
      <c r="E100" s="134"/>
      <c r="F100" s="134"/>
      <c r="G100" s="134"/>
    </row>
    <row r="101" spans="1:7" ht="12.75" x14ac:dyDescent="0.2">
      <c r="A101" s="160"/>
      <c r="B101" s="134"/>
      <c r="C101" s="134"/>
      <c r="D101" s="134"/>
      <c r="E101" s="134"/>
      <c r="F101" s="134"/>
      <c r="G101" s="134"/>
    </row>
    <row r="102" spans="1:7" ht="12.75" x14ac:dyDescent="0.2">
      <c r="A102" s="160"/>
      <c r="B102" s="134"/>
      <c r="C102" s="134"/>
      <c r="D102" s="134"/>
      <c r="E102" s="134"/>
      <c r="F102" s="134"/>
      <c r="G102" s="134"/>
    </row>
    <row r="103" spans="1:7" ht="12.75" x14ac:dyDescent="0.2">
      <c r="A103" s="160"/>
      <c r="B103" s="134"/>
      <c r="C103" s="134"/>
      <c r="D103" s="134"/>
      <c r="E103" s="134"/>
      <c r="F103" s="134"/>
      <c r="G103" s="134"/>
    </row>
    <row r="104" spans="1:7" ht="12.75" x14ac:dyDescent="0.2">
      <c r="A104" s="160"/>
      <c r="B104" s="134"/>
      <c r="C104" s="134"/>
      <c r="D104" s="134"/>
      <c r="E104" s="134"/>
      <c r="F104" s="134"/>
      <c r="G104" s="134"/>
    </row>
    <row r="105" spans="1:7" ht="12.75" x14ac:dyDescent="0.2">
      <c r="A105" s="160"/>
      <c r="B105" s="134"/>
      <c r="C105" s="134"/>
      <c r="D105" s="134"/>
      <c r="E105" s="134"/>
      <c r="F105" s="134"/>
      <c r="G105" s="134"/>
    </row>
    <row r="106" spans="1:7" ht="12.75" x14ac:dyDescent="0.2">
      <c r="A106" s="160"/>
      <c r="B106" s="134"/>
      <c r="C106" s="134"/>
      <c r="D106" s="134"/>
      <c r="E106" s="134"/>
      <c r="F106" s="134"/>
      <c r="G106" s="134"/>
    </row>
    <row r="107" spans="1:7" ht="12.75" x14ac:dyDescent="0.2">
      <c r="A107" s="160"/>
      <c r="B107" s="134"/>
      <c r="C107" s="134"/>
      <c r="D107" s="134"/>
      <c r="E107" s="134"/>
      <c r="F107" s="134"/>
      <c r="G107" s="134"/>
    </row>
    <row r="108" spans="1:7" ht="12.75" x14ac:dyDescent="0.2">
      <c r="A108" s="160"/>
      <c r="B108" s="134"/>
      <c r="C108" s="134"/>
      <c r="D108" s="134"/>
      <c r="E108" s="134"/>
      <c r="F108" s="134"/>
      <c r="G108" s="134"/>
    </row>
    <row r="109" spans="1:7" ht="12.75" x14ac:dyDescent="0.2">
      <c r="A109" s="160"/>
      <c r="B109" s="134"/>
      <c r="C109" s="134"/>
      <c r="D109" s="134"/>
      <c r="E109" s="134"/>
      <c r="F109" s="134"/>
      <c r="G109" s="134"/>
    </row>
    <row r="110" spans="1:7" ht="12.75" x14ac:dyDescent="0.2">
      <c r="A110" s="160"/>
      <c r="B110" s="134"/>
      <c r="C110" s="134"/>
      <c r="D110" s="134"/>
      <c r="E110" s="134"/>
      <c r="F110" s="134"/>
      <c r="G110" s="134"/>
    </row>
    <row r="111" spans="1:7" ht="12.75" x14ac:dyDescent="0.2">
      <c r="A111" s="160"/>
      <c r="B111" s="134"/>
      <c r="C111" s="134"/>
      <c r="D111" s="134"/>
      <c r="E111" s="134"/>
      <c r="F111" s="134"/>
      <c r="G111" s="134"/>
    </row>
    <row r="112" spans="1:7" ht="12.75" x14ac:dyDescent="0.2">
      <c r="A112" s="160"/>
      <c r="B112" s="134"/>
      <c r="C112" s="134"/>
      <c r="D112" s="134"/>
      <c r="E112" s="134"/>
      <c r="F112" s="134"/>
      <c r="G112" s="134"/>
    </row>
    <row r="113" spans="1:7" ht="12.75" x14ac:dyDescent="0.2">
      <c r="A113" s="160"/>
      <c r="B113" s="134"/>
      <c r="C113" s="134"/>
      <c r="D113" s="134"/>
      <c r="E113" s="134"/>
      <c r="F113" s="134"/>
      <c r="G113" s="134"/>
    </row>
    <row r="114" spans="1:7" ht="12.75" x14ac:dyDescent="0.2">
      <c r="A114" s="160"/>
      <c r="B114" s="134"/>
      <c r="C114" s="134"/>
      <c r="D114" s="134"/>
      <c r="E114" s="134"/>
      <c r="F114" s="134"/>
      <c r="G114" s="134"/>
    </row>
    <row r="115" spans="1:7" ht="12.75" x14ac:dyDescent="0.2">
      <c r="A115" s="160"/>
      <c r="B115" s="134"/>
      <c r="C115" s="134"/>
      <c r="D115" s="134"/>
      <c r="E115" s="134"/>
      <c r="F115" s="134"/>
      <c r="G115" s="134"/>
    </row>
    <row r="116" spans="1:7" ht="12.75" x14ac:dyDescent="0.2">
      <c r="A116" s="160"/>
      <c r="B116" s="134"/>
      <c r="C116" s="134"/>
      <c r="D116" s="134"/>
      <c r="E116" s="134"/>
      <c r="F116" s="134"/>
      <c r="G116" s="134"/>
    </row>
    <row r="117" spans="1:7" ht="12.75" x14ac:dyDescent="0.2">
      <c r="A117" s="160"/>
      <c r="B117" s="134"/>
      <c r="C117" s="134"/>
      <c r="D117" s="134"/>
      <c r="E117" s="134"/>
      <c r="F117" s="134"/>
      <c r="G117" s="134"/>
    </row>
    <row r="118" spans="1:7" ht="12.75" x14ac:dyDescent="0.2">
      <c r="A118" s="160"/>
      <c r="B118" s="134"/>
      <c r="C118" s="134"/>
      <c r="D118" s="134"/>
      <c r="E118" s="134"/>
      <c r="F118" s="134"/>
      <c r="G118" s="134"/>
    </row>
    <row r="119" spans="1:7" ht="12.75" x14ac:dyDescent="0.2">
      <c r="A119" s="160"/>
      <c r="B119" s="134"/>
      <c r="C119" s="134"/>
      <c r="D119" s="134"/>
      <c r="E119" s="134"/>
      <c r="F119" s="134"/>
      <c r="G119" s="134"/>
    </row>
    <row r="120" spans="1:7" ht="12.75" x14ac:dyDescent="0.2">
      <c r="A120" s="160"/>
      <c r="B120" s="134"/>
      <c r="C120" s="134"/>
      <c r="D120" s="134"/>
      <c r="E120" s="134"/>
      <c r="F120" s="134"/>
      <c r="G120" s="134"/>
    </row>
    <row r="121" spans="1:7" ht="12.75" x14ac:dyDescent="0.2">
      <c r="A121" s="160"/>
      <c r="B121" s="134"/>
      <c r="C121" s="134"/>
      <c r="D121" s="134"/>
      <c r="E121" s="134"/>
      <c r="F121" s="134"/>
      <c r="G121" s="134"/>
    </row>
    <row r="122" spans="1:7" ht="12.75" x14ac:dyDescent="0.2">
      <c r="A122" s="160"/>
      <c r="B122" s="134"/>
      <c r="C122" s="134"/>
      <c r="D122" s="134"/>
      <c r="E122" s="134"/>
      <c r="F122" s="134"/>
      <c r="G122" s="134"/>
    </row>
    <row r="123" spans="1:7" ht="12.75" x14ac:dyDescent="0.2">
      <c r="A123" s="160"/>
      <c r="B123" s="134"/>
      <c r="C123" s="134"/>
      <c r="D123" s="134"/>
      <c r="E123" s="134"/>
      <c r="F123" s="134"/>
      <c r="G123" s="134"/>
    </row>
    <row r="124" spans="1:7" ht="12.75" x14ac:dyDescent="0.2">
      <c r="A124" s="160"/>
      <c r="B124" s="134"/>
      <c r="C124" s="134"/>
      <c r="D124" s="134"/>
      <c r="E124" s="134"/>
      <c r="F124" s="134"/>
      <c r="G124" s="134"/>
    </row>
    <row r="125" spans="1:7" ht="12.75" x14ac:dyDescent="0.2">
      <c r="A125" s="160"/>
      <c r="B125" s="134"/>
      <c r="C125" s="134"/>
      <c r="D125" s="134"/>
      <c r="E125" s="134"/>
      <c r="F125" s="134"/>
      <c r="G125" s="134"/>
    </row>
    <row r="126" spans="1:7" ht="12.75" x14ac:dyDescent="0.2">
      <c r="A126" s="160"/>
      <c r="B126" s="134"/>
      <c r="C126" s="134"/>
      <c r="D126" s="134"/>
      <c r="E126" s="134"/>
      <c r="F126" s="134"/>
      <c r="G126" s="134"/>
    </row>
    <row r="127" spans="1:7" ht="12.75" x14ac:dyDescent="0.2">
      <c r="A127" s="160"/>
      <c r="B127" s="134"/>
      <c r="C127" s="134"/>
      <c r="D127" s="134"/>
      <c r="E127" s="134"/>
      <c r="F127" s="134"/>
      <c r="G127" s="134"/>
    </row>
    <row r="128" spans="1:7" ht="12.75" x14ac:dyDescent="0.2">
      <c r="A128" s="160"/>
      <c r="B128" s="134"/>
      <c r="C128" s="134"/>
      <c r="D128" s="134"/>
      <c r="E128" s="134"/>
      <c r="F128" s="134"/>
      <c r="G128" s="134"/>
    </row>
    <row r="129" spans="1:7" ht="12.75" x14ac:dyDescent="0.2">
      <c r="A129" s="160"/>
      <c r="B129" s="134"/>
      <c r="C129" s="134"/>
      <c r="D129" s="134"/>
      <c r="E129" s="134"/>
      <c r="F129" s="134"/>
      <c r="G129" s="134"/>
    </row>
    <row r="130" spans="1:7" ht="12.75" x14ac:dyDescent="0.2">
      <c r="A130" s="160"/>
      <c r="B130" s="134"/>
      <c r="C130" s="134"/>
      <c r="D130" s="134"/>
      <c r="E130" s="134"/>
      <c r="F130" s="134"/>
      <c r="G130" s="134"/>
    </row>
    <row r="131" spans="1:7" ht="12.75" x14ac:dyDescent="0.2">
      <c r="A131" s="160"/>
      <c r="B131" s="134"/>
      <c r="C131" s="134"/>
      <c r="D131" s="134"/>
      <c r="E131" s="134"/>
      <c r="F131" s="134"/>
      <c r="G131" s="134"/>
    </row>
    <row r="132" spans="1:7" ht="12.75" x14ac:dyDescent="0.2">
      <c r="A132" s="160"/>
      <c r="B132" s="134"/>
      <c r="C132" s="134"/>
      <c r="D132" s="134"/>
      <c r="E132" s="134"/>
      <c r="F132" s="134"/>
      <c r="G132" s="134"/>
    </row>
    <row r="133" spans="1:7" ht="12.75" x14ac:dyDescent="0.2">
      <c r="A133" s="160"/>
      <c r="B133" s="134"/>
      <c r="C133" s="134"/>
      <c r="D133" s="134"/>
      <c r="E133" s="134"/>
      <c r="F133" s="134"/>
      <c r="G133" s="134"/>
    </row>
    <row r="134" spans="1:7" ht="12.75" x14ac:dyDescent="0.2">
      <c r="A134" s="160"/>
      <c r="B134" s="134"/>
      <c r="C134" s="134"/>
      <c r="D134" s="134"/>
      <c r="E134" s="134"/>
      <c r="F134" s="134"/>
      <c r="G134" s="134"/>
    </row>
    <row r="135" spans="1:7" ht="12.75" x14ac:dyDescent="0.2">
      <c r="A135" s="160"/>
      <c r="B135" s="134"/>
      <c r="C135" s="134"/>
      <c r="D135" s="134"/>
      <c r="E135" s="134"/>
      <c r="F135" s="134"/>
      <c r="G135" s="134"/>
    </row>
    <row r="136" spans="1:7" ht="12.75" x14ac:dyDescent="0.2">
      <c r="A136" s="160"/>
      <c r="B136" s="134"/>
      <c r="C136" s="134"/>
      <c r="D136" s="134"/>
      <c r="E136" s="134"/>
      <c r="F136" s="134"/>
      <c r="G136" s="134"/>
    </row>
    <row r="137" spans="1:7" ht="12.75" x14ac:dyDescent="0.2">
      <c r="A137" s="160"/>
      <c r="B137" s="134"/>
      <c r="C137" s="134"/>
      <c r="D137" s="134"/>
      <c r="E137" s="134"/>
      <c r="F137" s="134"/>
      <c r="G137" s="134"/>
    </row>
    <row r="138" spans="1:7" ht="12.75" x14ac:dyDescent="0.2">
      <c r="A138" s="160"/>
      <c r="B138" s="134"/>
      <c r="C138" s="134"/>
      <c r="D138" s="134"/>
      <c r="E138" s="134"/>
      <c r="F138" s="134"/>
      <c r="G138" s="134"/>
    </row>
    <row r="139" spans="1:7" ht="12.75" x14ac:dyDescent="0.2">
      <c r="A139" s="160"/>
      <c r="B139" s="134"/>
      <c r="C139" s="134"/>
      <c r="D139" s="134"/>
      <c r="E139" s="134"/>
      <c r="F139" s="134"/>
      <c r="G139" s="134"/>
    </row>
    <row r="140" spans="1:7" ht="12.75" x14ac:dyDescent="0.2">
      <c r="A140" s="160"/>
      <c r="B140" s="134"/>
      <c r="C140" s="134"/>
      <c r="D140" s="134"/>
      <c r="E140" s="134"/>
      <c r="F140" s="134"/>
      <c r="G140" s="134"/>
    </row>
    <row r="141" spans="1:7" ht="12.75" x14ac:dyDescent="0.2">
      <c r="A141" s="160"/>
      <c r="B141" s="134"/>
      <c r="C141" s="134"/>
      <c r="D141" s="134"/>
      <c r="E141" s="134"/>
      <c r="F141" s="134"/>
      <c r="G141" s="134"/>
    </row>
    <row r="142" spans="1:7" ht="12.75" x14ac:dyDescent="0.2">
      <c r="A142" s="160"/>
      <c r="B142" s="134"/>
      <c r="C142" s="134"/>
      <c r="D142" s="134"/>
      <c r="E142" s="134"/>
      <c r="F142" s="134"/>
      <c r="G142" s="134"/>
    </row>
    <row r="143" spans="1:7" ht="12.75" x14ac:dyDescent="0.2">
      <c r="A143" s="160"/>
      <c r="B143" s="134"/>
      <c r="C143" s="134"/>
      <c r="D143" s="134"/>
      <c r="E143" s="134"/>
      <c r="F143" s="134"/>
      <c r="G143" s="134"/>
    </row>
    <row r="144" spans="1:7" ht="12.75" x14ac:dyDescent="0.2">
      <c r="A144" s="160"/>
      <c r="B144" s="134"/>
      <c r="C144" s="134"/>
      <c r="D144" s="134"/>
      <c r="E144" s="134"/>
      <c r="F144" s="134"/>
      <c r="G144" s="134"/>
    </row>
    <row r="145" spans="1:7" ht="12.75" x14ac:dyDescent="0.2">
      <c r="A145" s="160"/>
      <c r="B145" s="134"/>
      <c r="C145" s="134"/>
      <c r="D145" s="134"/>
      <c r="E145" s="134"/>
      <c r="F145" s="134"/>
      <c r="G145" s="134"/>
    </row>
    <row r="146" spans="1:7" ht="12.75" x14ac:dyDescent="0.2">
      <c r="A146" s="160"/>
      <c r="B146" s="134"/>
      <c r="C146" s="134"/>
      <c r="D146" s="134"/>
      <c r="E146" s="134"/>
      <c r="F146" s="134"/>
      <c r="G146" s="134"/>
    </row>
    <row r="147" spans="1:7" ht="12.75" x14ac:dyDescent="0.2">
      <c r="A147" s="160"/>
      <c r="B147" s="134"/>
      <c r="C147" s="134"/>
      <c r="D147" s="134"/>
      <c r="E147" s="134"/>
      <c r="F147" s="134"/>
      <c r="G147" s="134"/>
    </row>
    <row r="148" spans="1:7" ht="12.75" x14ac:dyDescent="0.2">
      <c r="A148" s="160"/>
      <c r="B148" s="134"/>
      <c r="C148" s="134"/>
      <c r="D148" s="134"/>
      <c r="E148" s="134"/>
      <c r="F148" s="134"/>
      <c r="G148" s="134"/>
    </row>
    <row r="149" spans="1:7" ht="12.75" x14ac:dyDescent="0.2">
      <c r="A149" s="160"/>
      <c r="B149" s="134"/>
      <c r="C149" s="134"/>
      <c r="D149" s="134"/>
      <c r="E149" s="134"/>
      <c r="F149" s="134"/>
      <c r="G149" s="134"/>
    </row>
    <row r="150" spans="1:7" ht="12.75" x14ac:dyDescent="0.2">
      <c r="A150" s="160"/>
      <c r="B150" s="134"/>
      <c r="C150" s="134"/>
      <c r="D150" s="134"/>
      <c r="E150" s="134"/>
      <c r="F150" s="134"/>
      <c r="G150" s="134"/>
    </row>
    <row r="151" spans="1:7" ht="12.75" x14ac:dyDescent="0.2">
      <c r="A151" s="160"/>
      <c r="B151" s="134"/>
      <c r="C151" s="134"/>
      <c r="D151" s="134"/>
      <c r="E151" s="134"/>
      <c r="F151" s="134"/>
      <c r="G151" s="134"/>
    </row>
    <row r="152" spans="1:7" ht="12.75" x14ac:dyDescent="0.2">
      <c r="A152" s="160"/>
      <c r="B152" s="134"/>
      <c r="C152" s="134"/>
      <c r="D152" s="134"/>
      <c r="E152" s="134"/>
      <c r="F152" s="134"/>
      <c r="G152" s="134"/>
    </row>
    <row r="153" spans="1:7" ht="12.75" x14ac:dyDescent="0.2">
      <c r="A153" s="160"/>
      <c r="B153" s="134"/>
      <c r="C153" s="134"/>
      <c r="D153" s="134"/>
      <c r="E153" s="134"/>
      <c r="F153" s="134"/>
      <c r="G153" s="134"/>
    </row>
    <row r="154" spans="1:7" ht="12.75" x14ac:dyDescent="0.2">
      <c r="A154" s="160"/>
      <c r="B154" s="134"/>
      <c r="C154" s="134"/>
      <c r="D154" s="134"/>
      <c r="E154" s="134"/>
      <c r="F154" s="134"/>
      <c r="G154" s="134"/>
    </row>
    <row r="155" spans="1:7" ht="12.75" x14ac:dyDescent="0.2">
      <c r="A155" s="160"/>
      <c r="B155" s="134"/>
      <c r="C155" s="134"/>
      <c r="D155" s="134"/>
      <c r="E155" s="134"/>
      <c r="F155" s="134"/>
      <c r="G155" s="134"/>
    </row>
    <row r="156" spans="1:7" ht="12.75" x14ac:dyDescent="0.2">
      <c r="A156" s="160"/>
      <c r="B156" s="134"/>
      <c r="C156" s="134"/>
      <c r="D156" s="134"/>
      <c r="E156" s="134"/>
      <c r="F156" s="134"/>
      <c r="G156" s="134"/>
    </row>
    <row r="157" spans="1:7" ht="12.75" x14ac:dyDescent="0.2">
      <c r="A157" s="160"/>
      <c r="B157" s="134"/>
      <c r="C157" s="134"/>
      <c r="D157" s="134"/>
      <c r="E157" s="134"/>
      <c r="F157" s="134"/>
      <c r="G157" s="134"/>
    </row>
    <row r="158" spans="1:7" ht="12.75" x14ac:dyDescent="0.2">
      <c r="A158" s="160"/>
      <c r="B158" s="134"/>
      <c r="C158" s="134"/>
      <c r="D158" s="134"/>
      <c r="E158" s="134"/>
      <c r="F158" s="134"/>
      <c r="G158" s="134"/>
    </row>
    <row r="159" spans="1:7" ht="12.75" x14ac:dyDescent="0.2">
      <c r="A159" s="160"/>
      <c r="B159" s="134"/>
      <c r="C159" s="134"/>
      <c r="D159" s="134"/>
      <c r="E159" s="134"/>
      <c r="F159" s="134"/>
      <c r="G159" s="134"/>
    </row>
    <row r="160" spans="1:7" ht="12.75" x14ac:dyDescent="0.2">
      <c r="A160" s="160"/>
      <c r="B160" s="134"/>
      <c r="C160" s="134"/>
      <c r="D160" s="134"/>
      <c r="E160" s="134"/>
      <c r="F160" s="134"/>
      <c r="G160" s="134"/>
    </row>
    <row r="161" spans="1:7" ht="12.75" x14ac:dyDescent="0.2">
      <c r="A161" s="160"/>
      <c r="B161" s="134"/>
      <c r="C161" s="134"/>
      <c r="D161" s="134"/>
      <c r="E161" s="134"/>
      <c r="F161" s="134"/>
      <c r="G161" s="134"/>
    </row>
    <row r="162" spans="1:7" ht="12.75" x14ac:dyDescent="0.2">
      <c r="A162" s="160"/>
      <c r="B162" s="134"/>
      <c r="C162" s="134"/>
      <c r="D162" s="134"/>
      <c r="E162" s="134"/>
      <c r="F162" s="134"/>
      <c r="G162" s="134"/>
    </row>
    <row r="163" spans="1:7" ht="12.75" x14ac:dyDescent="0.2">
      <c r="A163" s="160"/>
      <c r="B163" s="134"/>
      <c r="C163" s="134"/>
      <c r="D163" s="134"/>
      <c r="E163" s="134"/>
      <c r="F163" s="134"/>
      <c r="G163" s="134"/>
    </row>
    <row r="164" spans="1:7" ht="12.75" x14ac:dyDescent="0.2">
      <c r="A164" s="160"/>
      <c r="B164" s="134"/>
      <c r="C164" s="134"/>
      <c r="D164" s="134"/>
      <c r="E164" s="134"/>
      <c r="F164" s="134"/>
      <c r="G164" s="134"/>
    </row>
    <row r="165" spans="1:7" ht="12.75" x14ac:dyDescent="0.2">
      <c r="A165" s="160"/>
      <c r="B165" s="134"/>
      <c r="C165" s="134"/>
      <c r="D165" s="134"/>
      <c r="E165" s="134"/>
      <c r="F165" s="134"/>
      <c r="G165" s="134"/>
    </row>
    <row r="166" spans="1:7" ht="12.75" x14ac:dyDescent="0.2">
      <c r="A166" s="160"/>
      <c r="B166" s="134"/>
      <c r="C166" s="134"/>
      <c r="D166" s="134"/>
      <c r="E166" s="134"/>
      <c r="F166" s="134"/>
      <c r="G166" s="134"/>
    </row>
    <row r="167" spans="1:7" ht="12.75" x14ac:dyDescent="0.2">
      <c r="A167" s="160"/>
      <c r="B167" s="134"/>
      <c r="C167" s="134"/>
      <c r="D167" s="134"/>
      <c r="E167" s="134"/>
      <c r="F167" s="134"/>
      <c r="G167" s="134"/>
    </row>
    <row r="168" spans="1:7" ht="12.75" x14ac:dyDescent="0.2">
      <c r="A168" s="160"/>
      <c r="B168" s="134"/>
      <c r="C168" s="134"/>
      <c r="D168" s="134"/>
      <c r="E168" s="134"/>
      <c r="F168" s="134"/>
      <c r="G168" s="134"/>
    </row>
    <row r="169" spans="1:7" ht="12.75" x14ac:dyDescent="0.2">
      <c r="A169" s="160"/>
      <c r="B169" s="134"/>
      <c r="C169" s="134"/>
      <c r="D169" s="134"/>
      <c r="E169" s="134"/>
      <c r="F169" s="134"/>
      <c r="G169" s="134"/>
    </row>
    <row r="170" spans="1:7" ht="12.75" x14ac:dyDescent="0.2">
      <c r="A170" s="160"/>
      <c r="B170" s="134"/>
      <c r="C170" s="134"/>
      <c r="D170" s="134"/>
      <c r="E170" s="134"/>
      <c r="F170" s="134"/>
      <c r="G170" s="134"/>
    </row>
    <row r="171" spans="1:7" ht="12.75" x14ac:dyDescent="0.2">
      <c r="A171" s="160"/>
      <c r="B171" s="134"/>
      <c r="C171" s="134"/>
      <c r="D171" s="134"/>
      <c r="E171" s="134"/>
      <c r="F171" s="134"/>
      <c r="G171" s="134"/>
    </row>
    <row r="172" spans="1:7" ht="12.75" x14ac:dyDescent="0.2">
      <c r="A172" s="160"/>
      <c r="B172" s="134"/>
      <c r="C172" s="134"/>
      <c r="D172" s="134"/>
      <c r="E172" s="134"/>
      <c r="F172" s="134"/>
      <c r="G172" s="134"/>
    </row>
    <row r="173" spans="1:7" ht="12.75" x14ac:dyDescent="0.2">
      <c r="A173" s="160"/>
      <c r="B173" s="134"/>
      <c r="C173" s="134"/>
      <c r="D173" s="134"/>
      <c r="E173" s="134"/>
      <c r="F173" s="134"/>
      <c r="G173" s="134"/>
    </row>
    <row r="174" spans="1:7" ht="12.75" x14ac:dyDescent="0.2">
      <c r="A174" s="160"/>
      <c r="B174" s="134"/>
      <c r="C174" s="134"/>
      <c r="D174" s="134"/>
      <c r="E174" s="134"/>
      <c r="F174" s="134"/>
      <c r="G174" s="134"/>
    </row>
    <row r="175" spans="1:7" ht="12.75" x14ac:dyDescent="0.2">
      <c r="A175" s="160"/>
      <c r="B175" s="134"/>
      <c r="C175" s="134"/>
      <c r="D175" s="134"/>
      <c r="E175" s="134"/>
      <c r="F175" s="134"/>
      <c r="G175" s="134"/>
    </row>
    <row r="176" spans="1:7" ht="12.75" x14ac:dyDescent="0.2">
      <c r="A176" s="160"/>
      <c r="B176" s="134"/>
      <c r="C176" s="134"/>
      <c r="D176" s="134"/>
      <c r="E176" s="134"/>
      <c r="F176" s="134"/>
      <c r="G176" s="134"/>
    </row>
    <row r="177" spans="1:7" ht="12.75" x14ac:dyDescent="0.2">
      <c r="A177" s="160"/>
      <c r="B177" s="134"/>
      <c r="C177" s="134"/>
      <c r="D177" s="134"/>
      <c r="E177" s="134"/>
      <c r="F177" s="134"/>
      <c r="G177" s="134"/>
    </row>
    <row r="178" spans="1:7" ht="12.75" x14ac:dyDescent="0.2">
      <c r="A178" s="160"/>
      <c r="B178" s="134"/>
      <c r="C178" s="134"/>
      <c r="D178" s="134"/>
      <c r="E178" s="134"/>
      <c r="F178" s="134"/>
      <c r="G178" s="134"/>
    </row>
    <row r="179" spans="1:7" ht="12.75" x14ac:dyDescent="0.2">
      <c r="A179" s="160"/>
      <c r="B179" s="134"/>
      <c r="C179" s="134"/>
      <c r="D179" s="134"/>
      <c r="E179" s="134"/>
      <c r="F179" s="134"/>
      <c r="G179" s="134"/>
    </row>
    <row r="180" spans="1:7" ht="12.75" x14ac:dyDescent="0.2">
      <c r="A180" s="160"/>
      <c r="B180" s="134"/>
      <c r="C180" s="134"/>
      <c r="D180" s="134"/>
      <c r="E180" s="134"/>
      <c r="F180" s="134"/>
      <c r="G180" s="134"/>
    </row>
    <row r="181" spans="1:7" ht="12.75" x14ac:dyDescent="0.2">
      <c r="A181" s="160"/>
      <c r="B181" s="134"/>
      <c r="C181" s="134"/>
      <c r="D181" s="134"/>
      <c r="E181" s="134"/>
      <c r="F181" s="134"/>
      <c r="G181" s="134"/>
    </row>
    <row r="182" spans="1:7" ht="12.75" x14ac:dyDescent="0.2">
      <c r="A182" s="160"/>
      <c r="B182" s="134"/>
      <c r="C182" s="134"/>
      <c r="D182" s="134"/>
      <c r="E182" s="134"/>
      <c r="F182" s="134"/>
      <c r="G182" s="134"/>
    </row>
    <row r="183" spans="1:7" ht="12.75" x14ac:dyDescent="0.2">
      <c r="A183" s="160"/>
      <c r="B183" s="134"/>
      <c r="C183" s="134"/>
      <c r="D183" s="134"/>
      <c r="E183" s="134"/>
      <c r="F183" s="134"/>
      <c r="G183" s="134"/>
    </row>
    <row r="184" spans="1:7" ht="12.75" x14ac:dyDescent="0.2">
      <c r="A184" s="160"/>
      <c r="B184" s="134"/>
      <c r="C184" s="134"/>
      <c r="D184" s="134"/>
      <c r="E184" s="134"/>
      <c r="F184" s="134"/>
      <c r="G184" s="134"/>
    </row>
    <row r="185" spans="1:7" ht="12.75" x14ac:dyDescent="0.2">
      <c r="A185" s="160"/>
      <c r="B185" s="134"/>
      <c r="C185" s="134"/>
      <c r="D185" s="134"/>
      <c r="E185" s="134"/>
      <c r="F185" s="134"/>
      <c r="G185" s="134"/>
    </row>
    <row r="186" spans="1:7" ht="12.75" x14ac:dyDescent="0.2">
      <c r="A186" s="160"/>
      <c r="B186" s="134"/>
      <c r="C186" s="134"/>
      <c r="D186" s="134"/>
      <c r="E186" s="134"/>
      <c r="F186" s="134"/>
      <c r="G186" s="134"/>
    </row>
  </sheetData>
  <mergeCells count="184">
    <mergeCell ref="A78:G78"/>
    <mergeCell ref="A79:G79"/>
    <mergeCell ref="A94:G94"/>
    <mergeCell ref="A100:G100"/>
    <mergeCell ref="A99:G99"/>
    <mergeCell ref="A98:G98"/>
    <mergeCell ref="A97:G97"/>
    <mergeCell ref="A86:G86"/>
    <mergeCell ref="A77:G77"/>
    <mergeCell ref="A92:G92"/>
    <mergeCell ref="A89:G89"/>
    <mergeCell ref="A90:G90"/>
    <mergeCell ref="A95:G95"/>
    <mergeCell ref="A96:G96"/>
    <mergeCell ref="A87:G87"/>
    <mergeCell ref="A88:G88"/>
    <mergeCell ref="A81:G81"/>
    <mergeCell ref="A82:G82"/>
    <mergeCell ref="A83:G83"/>
    <mergeCell ref="A85:G85"/>
    <mergeCell ref="A84:G84"/>
    <mergeCell ref="A75:G75"/>
    <mergeCell ref="A76:G76"/>
    <mergeCell ref="A62:G62"/>
    <mergeCell ref="A63:G63"/>
    <mergeCell ref="A64:G64"/>
    <mergeCell ref="A65:G65"/>
    <mergeCell ref="A122:G122"/>
    <mergeCell ref="A121:G121"/>
    <mergeCell ref="A118:G118"/>
    <mergeCell ref="A119:G119"/>
    <mergeCell ref="A115:G115"/>
    <mergeCell ref="A117:G117"/>
    <mergeCell ref="A101:G101"/>
    <mergeCell ref="A107:G107"/>
    <mergeCell ref="A68:G68"/>
    <mergeCell ref="A69:G69"/>
    <mergeCell ref="A66:G66"/>
    <mergeCell ref="A74:G74"/>
    <mergeCell ref="A70:G70"/>
    <mergeCell ref="A73:G73"/>
    <mergeCell ref="A71:G71"/>
    <mergeCell ref="A72:G72"/>
    <mergeCell ref="A67:G67"/>
    <mergeCell ref="A111:G111"/>
    <mergeCell ref="A148:G148"/>
    <mergeCell ref="A149:G149"/>
    <mergeCell ref="A125:G125"/>
    <mergeCell ref="A124:G124"/>
    <mergeCell ref="A116:G116"/>
    <mergeCell ref="A130:G130"/>
    <mergeCell ref="A134:G134"/>
    <mergeCell ref="A133:G133"/>
    <mergeCell ref="A131:G131"/>
    <mergeCell ref="A132:G132"/>
    <mergeCell ref="A144:G144"/>
    <mergeCell ref="A141:G141"/>
    <mergeCell ref="A142:G142"/>
    <mergeCell ref="A143:G143"/>
    <mergeCell ref="A135:G135"/>
    <mergeCell ref="A138:G138"/>
    <mergeCell ref="A137:G137"/>
    <mergeCell ref="A136:G136"/>
    <mergeCell ref="A139:G139"/>
    <mergeCell ref="A140:G140"/>
    <mergeCell ref="A128:G128"/>
    <mergeCell ref="A129:G129"/>
    <mergeCell ref="A146:G146"/>
    <mergeCell ref="A145:G145"/>
    <mergeCell ref="A102:G102"/>
    <mergeCell ref="A103:G103"/>
    <mergeCell ref="A104:G104"/>
    <mergeCell ref="A105:G105"/>
    <mergeCell ref="A106:G106"/>
    <mergeCell ref="A110:G110"/>
    <mergeCell ref="A123:G123"/>
    <mergeCell ref="A166:G166"/>
    <mergeCell ref="A167:G167"/>
    <mergeCell ref="A155:G155"/>
    <mergeCell ref="A150:G150"/>
    <mergeCell ref="A151:G151"/>
    <mergeCell ref="A152:G152"/>
    <mergeCell ref="A154:G154"/>
    <mergeCell ref="A153:G153"/>
    <mergeCell ref="A164:G164"/>
    <mergeCell ref="A165:G165"/>
    <mergeCell ref="A112:G112"/>
    <mergeCell ref="A126:G126"/>
    <mergeCell ref="A127:G127"/>
    <mergeCell ref="A120:G120"/>
    <mergeCell ref="A147:G147"/>
    <mergeCell ref="A113:G113"/>
    <mergeCell ref="A114:G114"/>
    <mergeCell ref="A168:G168"/>
    <mergeCell ref="A169:G169"/>
    <mergeCell ref="A175:G175"/>
    <mergeCell ref="A176:G176"/>
    <mergeCell ref="A179:G179"/>
    <mergeCell ref="A178:G178"/>
    <mergeCell ref="A171:G171"/>
    <mergeCell ref="A172:G172"/>
    <mergeCell ref="A55:G55"/>
    <mergeCell ref="A56:G56"/>
    <mergeCell ref="A109:G109"/>
    <mergeCell ref="A108:G108"/>
    <mergeCell ref="A157:G157"/>
    <mergeCell ref="A158:G158"/>
    <mergeCell ref="A159:G159"/>
    <mergeCell ref="A162:G162"/>
    <mergeCell ref="A163:G163"/>
    <mergeCell ref="A160:G160"/>
    <mergeCell ref="A161:G161"/>
    <mergeCell ref="A156:G156"/>
    <mergeCell ref="A170:G170"/>
    <mergeCell ref="A80:G80"/>
    <mergeCell ref="A93:G93"/>
    <mergeCell ref="A91:G91"/>
    <mergeCell ref="A182:G182"/>
    <mergeCell ref="A180:G180"/>
    <mergeCell ref="A181:G181"/>
    <mergeCell ref="A173:G173"/>
    <mergeCell ref="A174:G174"/>
    <mergeCell ref="A184:G184"/>
    <mergeCell ref="A185:G185"/>
    <mergeCell ref="A186:G186"/>
    <mergeCell ref="A183:G183"/>
    <mergeCell ref="A177:G177"/>
    <mergeCell ref="A18:G18"/>
    <mergeCell ref="A19:G19"/>
    <mergeCell ref="A27:G27"/>
    <mergeCell ref="A24:G24"/>
    <mergeCell ref="A26:G26"/>
    <mergeCell ref="A25:G25"/>
    <mergeCell ref="A23:G23"/>
    <mergeCell ref="A22:G22"/>
    <mergeCell ref="A17:G17"/>
    <mergeCell ref="A49:G49"/>
    <mergeCell ref="A50:G50"/>
    <mergeCell ref="A3:G3"/>
    <mergeCell ref="A13:G13"/>
    <mergeCell ref="A14:G14"/>
    <mergeCell ref="A31:G31"/>
    <mergeCell ref="A34:G34"/>
    <mergeCell ref="A44:G44"/>
    <mergeCell ref="A28:G28"/>
    <mergeCell ref="A30:G30"/>
    <mergeCell ref="A29:G29"/>
    <mergeCell ref="A40:G40"/>
    <mergeCell ref="A37:G37"/>
    <mergeCell ref="A4:G4"/>
    <mergeCell ref="A5:G5"/>
    <mergeCell ref="A6:G6"/>
    <mergeCell ref="A8:G8"/>
    <mergeCell ref="A7:G7"/>
    <mergeCell ref="A9:G9"/>
    <mergeCell ref="A10:G10"/>
    <mergeCell ref="A15:G15"/>
    <mergeCell ref="A16:G16"/>
    <mergeCell ref="A11:G11"/>
    <mergeCell ref="A12:G12"/>
    <mergeCell ref="A61:G61"/>
    <mergeCell ref="A53:G53"/>
    <mergeCell ref="A60:G60"/>
    <mergeCell ref="A58:G58"/>
    <mergeCell ref="A54:G54"/>
    <mergeCell ref="A52:G52"/>
    <mergeCell ref="A21:G21"/>
    <mergeCell ref="A20:G20"/>
    <mergeCell ref="A59:G59"/>
    <mergeCell ref="A41:G41"/>
    <mergeCell ref="A42:G42"/>
    <mergeCell ref="A43:G43"/>
    <mergeCell ref="A57:G57"/>
    <mergeCell ref="A51:G51"/>
    <mergeCell ref="A33:G33"/>
    <mergeCell ref="A32:G32"/>
    <mergeCell ref="A35:G35"/>
    <mergeCell ref="A36:G36"/>
    <mergeCell ref="A39:G39"/>
    <mergeCell ref="A38:G38"/>
    <mergeCell ref="A45:G45"/>
    <mergeCell ref="A46:G46"/>
    <mergeCell ref="A47:G47"/>
    <mergeCell ref="A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45"/>
  <sheetViews>
    <sheetView workbookViewId="0"/>
  </sheetViews>
  <sheetFormatPr defaultColWidth="14.42578125" defaultRowHeight="15.75" customHeight="1" x14ac:dyDescent="0.2"/>
  <cols>
    <col min="1" max="1" width="23.42578125" customWidth="1"/>
    <col min="3" max="3" width="13.42578125" customWidth="1"/>
    <col min="4" max="4" width="7.28515625" customWidth="1"/>
    <col min="5" max="5" width="25.5703125" customWidth="1"/>
  </cols>
  <sheetData>
    <row r="1" spans="1:26" ht="6.75" customHeight="1" x14ac:dyDescent="0.25">
      <c r="A1" s="5"/>
      <c r="B1" s="5"/>
      <c r="C1" s="5"/>
      <c r="D1" s="5"/>
      <c r="E1" s="5"/>
      <c r="F1" s="5"/>
      <c r="H1" s="4"/>
      <c r="I1" s="4"/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.75" customHeight="1" x14ac:dyDescent="0.3">
      <c r="A2" s="7"/>
      <c r="B2" s="7"/>
      <c r="C2" s="7"/>
      <c r="D2" s="9"/>
      <c r="E2" s="9"/>
      <c r="F2" s="9"/>
      <c r="G2" s="4"/>
      <c r="H2" s="4"/>
      <c r="I2" s="4"/>
      <c r="J2" s="4"/>
      <c r="K2" s="4"/>
      <c r="L2" s="4"/>
      <c r="M2" s="4"/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3">
      <c r="A3" s="164" t="s">
        <v>2</v>
      </c>
      <c r="B3" s="134"/>
      <c r="C3" s="134"/>
      <c r="D3" s="134"/>
      <c r="E3" s="134"/>
      <c r="F3" s="134"/>
      <c r="G3" s="134"/>
      <c r="H3" s="4"/>
      <c r="I3" s="4"/>
      <c r="J3" s="4"/>
      <c r="K3" s="4"/>
      <c r="L3" s="4"/>
      <c r="M3" s="4"/>
      <c r="N3" s="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x14ac:dyDescent="0.25">
      <c r="A5" s="13" t="s">
        <v>3</v>
      </c>
      <c r="B5" s="14" t="s">
        <v>4</v>
      </c>
      <c r="C5" s="15" t="s">
        <v>5</v>
      </c>
      <c r="D5" s="4"/>
      <c r="E5" s="13" t="s">
        <v>6</v>
      </c>
      <c r="F5" s="14" t="s">
        <v>4</v>
      </c>
      <c r="G5" s="15" t="s">
        <v>5</v>
      </c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x14ac:dyDescent="0.25">
      <c r="A6" s="17" t="s">
        <v>7</v>
      </c>
      <c r="B6" s="19">
        <f>COUNTIF(Data!B$2:B$300,"18–25 років")</f>
        <v>15</v>
      </c>
      <c r="C6" s="20">
        <f>B6/COUNT(Data!$A$2:$A$500)</f>
        <v>0.3</v>
      </c>
      <c r="D6" s="4"/>
      <c r="E6" s="17" t="s">
        <v>9</v>
      </c>
      <c r="F6" s="19">
        <f>COUNTIF(Data!C$2:C$500,"Чоловіча")</f>
        <v>25</v>
      </c>
      <c r="G6" s="20">
        <f>F6/COUNT(Data!$A$2:$A$500)</f>
        <v>0.5</v>
      </c>
      <c r="H6" s="4"/>
      <c r="I6" s="4"/>
      <c r="J6" s="4"/>
      <c r="K6" s="4"/>
      <c r="L6" s="4"/>
      <c r="M6" s="4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x14ac:dyDescent="0.25">
      <c r="A7" s="17" t="s">
        <v>10</v>
      </c>
      <c r="B7" s="19">
        <f>COUNTIF(Data!B$2:B$300,"26–39 років")</f>
        <v>22</v>
      </c>
      <c r="C7" s="20">
        <f>B7/COUNT(Data!$A$2:$A$500)</f>
        <v>0.44</v>
      </c>
      <c r="D7" s="4"/>
      <c r="E7" s="17" t="s">
        <v>11</v>
      </c>
      <c r="F7" s="19">
        <f>COUNTIF(Data!C$2:C$500,"Жіноча")</f>
        <v>25</v>
      </c>
      <c r="G7" s="20">
        <f>F7/COUNT(Data!$A$2:$A$500)</f>
        <v>0.5</v>
      </c>
      <c r="H7" s="4"/>
      <c r="I7" s="4"/>
      <c r="J7" s="4"/>
      <c r="K7" s="4"/>
      <c r="L7" s="4"/>
      <c r="M7" s="4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x14ac:dyDescent="0.25">
      <c r="A8" s="17" t="s">
        <v>12</v>
      </c>
      <c r="B8" s="19">
        <f>COUNTIF(Data!B$2:B$300,"40–59 років")</f>
        <v>12</v>
      </c>
      <c r="C8" s="20">
        <f>B8/COUNT(Data!$A$2:$A$500)</f>
        <v>0.24</v>
      </c>
      <c r="D8" s="4"/>
      <c r="E8" s="5"/>
      <c r="F8" s="5"/>
      <c r="G8" s="25"/>
      <c r="H8" s="4"/>
      <c r="I8" s="4"/>
      <c r="J8" s="4"/>
      <c r="K8" s="4"/>
      <c r="L8" s="4"/>
      <c r="M8" s="4"/>
      <c r="N8" s="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x14ac:dyDescent="0.25">
      <c r="A9" s="17" t="s">
        <v>13</v>
      </c>
      <c r="B9" s="19">
        <f>COUNTIF(Data!B$2:B$300,"60 років і старше")</f>
        <v>1</v>
      </c>
      <c r="C9" s="20">
        <f>B9/COUNT(Data!$A$2:$A$500)</f>
        <v>0.02</v>
      </c>
      <c r="D9" s="4"/>
      <c r="E9" s="5"/>
      <c r="F9" s="5"/>
      <c r="G9" s="25"/>
      <c r="H9" s="4"/>
      <c r="I9" s="4"/>
      <c r="J9" s="4"/>
      <c r="K9" s="4"/>
      <c r="L9" s="4"/>
      <c r="M9" s="4"/>
      <c r="N9" s="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x14ac:dyDescent="0.25">
      <c r="A11" s="13" t="s">
        <v>14</v>
      </c>
      <c r="B11" s="14" t="s">
        <v>4</v>
      </c>
      <c r="C11" s="15" t="s">
        <v>5</v>
      </c>
      <c r="D11" s="4"/>
      <c r="E11" s="26" t="s">
        <v>15</v>
      </c>
      <c r="F11" s="14" t="s">
        <v>4</v>
      </c>
      <c r="G11" s="15" t="s">
        <v>5</v>
      </c>
      <c r="H11" s="4"/>
      <c r="I11" s="4"/>
      <c r="J11" s="4"/>
      <c r="K11" s="4"/>
      <c r="L11" s="4"/>
      <c r="M11" s="4"/>
      <c r="N11" s="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x14ac:dyDescent="0.25">
      <c r="A12" s="27" t="s">
        <v>16</v>
      </c>
      <c r="B12" s="19">
        <f>COUNTIF(Data!D$2:D$300,"Середня та неповна середня")</f>
        <v>23</v>
      </c>
      <c r="C12" s="20">
        <f>B12/COUNT(Data!$A$2:$A$500)</f>
        <v>0.46</v>
      </c>
      <c r="D12" s="4"/>
      <c r="E12" s="17" t="s">
        <v>18</v>
      </c>
      <c r="F12" s="19">
        <f>COUNTIF(Data!E$2:E$500,"Так")</f>
        <v>25</v>
      </c>
      <c r="G12" s="20">
        <f>F12/COUNT(Data!$A$2:$A$500)</f>
        <v>0.5</v>
      </c>
      <c r="H12" s="4"/>
      <c r="I12" s="4"/>
      <c r="J12" s="4"/>
      <c r="K12" s="4"/>
      <c r="L12" s="4"/>
      <c r="M12" s="4"/>
      <c r="N12" s="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27" t="s">
        <v>19</v>
      </c>
      <c r="B13" s="19">
        <f>COUNTIF(Data!D$2:D$300,"Вища та неповна вища")</f>
        <v>27</v>
      </c>
      <c r="C13" s="20">
        <f>B13/COUNT(Data!$A$2:$A$500)</f>
        <v>0.54</v>
      </c>
      <c r="D13" s="4"/>
      <c r="E13" s="17" t="s">
        <v>20</v>
      </c>
      <c r="F13" s="19">
        <f>COUNTIF(Data!E$2:E$500,"Ні")</f>
        <v>25</v>
      </c>
      <c r="G13" s="20">
        <f>F13/COUNT(Data!$A$2:$A$500)</f>
        <v>0.5</v>
      </c>
      <c r="H13" s="4"/>
      <c r="I13" s="4"/>
      <c r="J13" s="4"/>
      <c r="K13" s="4"/>
      <c r="L13" s="4"/>
      <c r="M13" s="4"/>
      <c r="N13" s="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x14ac:dyDescent="0.25">
      <c r="A14" s="27" t="s">
        <v>23</v>
      </c>
      <c r="B14" s="19">
        <f>COUNTIF(Data!D$2:D$300,"Інше (вкажіть)")</f>
        <v>0</v>
      </c>
      <c r="C14" s="20">
        <f>B14/COUNT(Data!$A$2:$A$500)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x14ac:dyDescent="0.25">
      <c r="A16" s="13" t="s">
        <v>24</v>
      </c>
      <c r="B16" s="14" t="s">
        <v>4</v>
      </c>
      <c r="C16" s="15" t="s">
        <v>5</v>
      </c>
      <c r="D16" s="4"/>
      <c r="E16" s="5"/>
      <c r="F16" s="5"/>
      <c r="G16" s="5"/>
      <c r="H16" s="4"/>
      <c r="I16" s="4"/>
      <c r="J16" s="4"/>
      <c r="K16" s="4"/>
      <c r="L16" s="4"/>
      <c r="M16" s="4"/>
      <c r="N16" s="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x14ac:dyDescent="0.25">
      <c r="A17" s="31" t="s">
        <v>25</v>
      </c>
      <c r="B17" s="19">
        <f>COUNTIF(Data!F$2:F$300,"В населеному пункті, де розташований цей суд")</f>
        <v>30</v>
      </c>
      <c r="C17" s="20">
        <f>B17/COUNT(Data!$A$2:$A$500)</f>
        <v>0.6</v>
      </c>
      <c r="D17" s="4"/>
      <c r="E17" s="5"/>
      <c r="F17" s="5"/>
      <c r="G17" s="25"/>
      <c r="H17" s="4"/>
      <c r="I17" s="4"/>
      <c r="J17" s="4"/>
      <c r="K17" s="4"/>
      <c r="L17" s="4"/>
      <c r="M17" s="4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x14ac:dyDescent="0.25">
      <c r="A18" s="31" t="s">
        <v>26</v>
      </c>
      <c r="B18" s="19">
        <f>COUNTIF(Data!F$2:F$300,"В іншому населеному пункті")</f>
        <v>20</v>
      </c>
      <c r="C18" s="20">
        <f>B18/COUNT(Data!$A$2:$A$500)</f>
        <v>0.4</v>
      </c>
      <c r="D18" s="4"/>
      <c r="E18" s="5"/>
      <c r="F18" s="5"/>
      <c r="G18" s="25"/>
      <c r="H18" s="4"/>
      <c r="I18" s="4"/>
      <c r="J18" s="4"/>
      <c r="K18" s="4"/>
      <c r="L18" s="4"/>
      <c r="M18" s="4"/>
      <c r="N18" s="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x14ac:dyDescent="0.25">
      <c r="A19" s="4"/>
      <c r="B19" s="4"/>
      <c r="C19" s="4"/>
      <c r="D19" s="4"/>
      <c r="E19" s="5"/>
      <c r="F19" s="5"/>
      <c r="G19" s="25"/>
      <c r="H19" s="4"/>
      <c r="I19" s="4"/>
      <c r="J19" s="4"/>
      <c r="K19" s="4"/>
      <c r="L19" s="4"/>
      <c r="M19" s="4"/>
      <c r="N19" s="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x14ac:dyDescent="0.25">
      <c r="A20" s="168" t="s">
        <v>30</v>
      </c>
      <c r="B20" s="136"/>
      <c r="C20" s="136"/>
      <c r="D20" s="136"/>
      <c r="E20" s="137"/>
      <c r="F20" s="14" t="s">
        <v>4</v>
      </c>
      <c r="G20" s="15" t="s">
        <v>5</v>
      </c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6" ht="15" x14ac:dyDescent="0.25">
      <c r="A21" s="165" t="s">
        <v>28</v>
      </c>
      <c r="B21" s="166"/>
      <c r="C21" s="166"/>
      <c r="D21" s="166"/>
      <c r="E21" s="167"/>
      <c r="F21" s="32">
        <f>COUNTIF(Data!G$2:G$300,"Змушені економити на харчуванні")</f>
        <v>0</v>
      </c>
      <c r="G21" s="20">
        <f>F21/COUNT(Data!$A$2:$A$500)</f>
        <v>0</v>
      </c>
      <c r="H21" s="4"/>
      <c r="I21" s="4"/>
      <c r="J21" s="4"/>
      <c r="K21" s="4"/>
      <c r="L21" s="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6" ht="15" x14ac:dyDescent="0.25">
      <c r="A22" s="165" t="s">
        <v>29</v>
      </c>
      <c r="B22" s="166"/>
      <c r="C22" s="166"/>
      <c r="D22" s="166"/>
      <c r="E22" s="167"/>
      <c r="F22" s="32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15</v>
      </c>
      <c r="G22" s="20">
        <f>F22/COUNT(Data!$A$2:$A$500)</f>
        <v>0.3</v>
      </c>
      <c r="H22" s="4"/>
      <c r="I22" s="4"/>
      <c r="J22" s="4"/>
      <c r="K22" s="4"/>
      <c r="L22" s="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6" ht="15" x14ac:dyDescent="0.25">
      <c r="A23" s="165" t="s">
        <v>31</v>
      </c>
      <c r="B23" s="166"/>
      <c r="C23" s="166"/>
      <c r="D23" s="166"/>
      <c r="E23" s="167"/>
      <c r="F23" s="32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19</v>
      </c>
      <c r="G23" s="20">
        <f>F23/COUNT(Data!$A$2:$A$500)</f>
        <v>0.38</v>
      </c>
      <c r="H23" s="4"/>
      <c r="I23" s="4"/>
      <c r="J23" s="4"/>
      <c r="K23" s="4"/>
      <c r="L23" s="4"/>
      <c r="M23" s="4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x14ac:dyDescent="0.25">
      <c r="A24" s="165" t="s">
        <v>32</v>
      </c>
      <c r="B24" s="166"/>
      <c r="C24" s="166"/>
      <c r="D24" s="166"/>
      <c r="E24" s="167"/>
      <c r="F24" s="32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14</v>
      </c>
      <c r="G24" s="20">
        <f>F24/COUNT(Data!$A$2:$A$500)</f>
        <v>0.28000000000000003</v>
      </c>
      <c r="H24" s="4"/>
      <c r="I24" s="4"/>
      <c r="J24" s="4"/>
      <c r="K24" s="4"/>
      <c r="L24" s="4"/>
      <c r="M24" s="4"/>
      <c r="N24" s="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x14ac:dyDescent="0.25">
      <c r="A25" s="165" t="s">
        <v>36</v>
      </c>
      <c r="B25" s="166"/>
      <c r="C25" s="166"/>
      <c r="D25" s="166"/>
      <c r="E25" s="167"/>
      <c r="F25" s="32">
        <f>COUNTIF(Data!G$2:G$300,"Будь-які необхідні покупки можу зробити в будь-який час")</f>
        <v>0</v>
      </c>
      <c r="G25" s="20">
        <f>F25/COUNT(Data!$A$2:$A$500)</f>
        <v>0</v>
      </c>
      <c r="H25" s="4"/>
      <c r="I25" s="4"/>
      <c r="J25" s="4"/>
      <c r="K25" s="4"/>
      <c r="L25" s="4"/>
      <c r="M25" s="4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x14ac:dyDescent="0.25">
      <c r="A26" s="165" t="s">
        <v>34</v>
      </c>
      <c r="B26" s="166"/>
      <c r="C26" s="166"/>
      <c r="D26" s="166"/>
      <c r="E26" s="167"/>
      <c r="F26" s="32">
        <f>COUNTIF(Data!G$2:G$300,"КН (код невідповіді)")</f>
        <v>2</v>
      </c>
      <c r="G26" s="20">
        <f>F26/COUNT(Data!$A$2:$A$500)</f>
        <v>0.04</v>
      </c>
      <c r="H26" s="4"/>
      <c r="I26" s="4"/>
      <c r="J26" s="4"/>
      <c r="K26" s="4"/>
      <c r="L26" s="4"/>
      <c r="M26" s="4"/>
      <c r="N26" s="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x14ac:dyDescent="0.25">
      <c r="A27" s="4"/>
      <c r="B27" s="4"/>
      <c r="C27" s="4"/>
      <c r="D27" s="4"/>
      <c r="E27" s="5"/>
      <c r="F27" s="5"/>
      <c r="G27" s="25"/>
      <c r="H27" s="4"/>
      <c r="I27" s="4"/>
      <c r="J27" s="4"/>
      <c r="K27" s="4"/>
      <c r="L27" s="4"/>
      <c r="M27" s="4"/>
      <c r="N27" s="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x14ac:dyDescent="0.25">
      <c r="A28" s="168" t="s">
        <v>39</v>
      </c>
      <c r="B28" s="136"/>
      <c r="C28" s="136"/>
      <c r="D28" s="136"/>
      <c r="E28" s="137"/>
      <c r="F28" s="14" t="s">
        <v>4</v>
      </c>
      <c r="G28" s="15" t="s">
        <v>5</v>
      </c>
      <c r="H28" s="4"/>
      <c r="I28" s="4"/>
      <c r="J28" s="4"/>
      <c r="K28" s="4"/>
      <c r="L28" s="4"/>
      <c r="M28" s="4"/>
      <c r="N28" s="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x14ac:dyDescent="0.25">
      <c r="A29" s="165" t="s">
        <v>38</v>
      </c>
      <c r="B29" s="166"/>
      <c r="C29" s="166"/>
      <c r="D29" s="166"/>
      <c r="E29" s="167"/>
      <c r="F29" s="32">
        <f>COUNTIF(Data!H$2:H$500,"Є учасником судових проваджень і представляєте особисто себе")</f>
        <v>18</v>
      </c>
      <c r="G29" s="20">
        <f>F29/COUNT(Data!$A$2:$A$500)</f>
        <v>0.36</v>
      </c>
      <c r="H29" s="4"/>
      <c r="I29" s="4"/>
      <c r="J29" s="4"/>
      <c r="K29" s="4"/>
      <c r="L29" s="4"/>
      <c r="M29" s="4"/>
      <c r="N29" s="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x14ac:dyDescent="0.25">
      <c r="A30" s="165" t="s">
        <v>40</v>
      </c>
      <c r="B30" s="166"/>
      <c r="C30" s="166"/>
      <c r="D30" s="166"/>
      <c r="E30" s="167"/>
      <c r="F30" s="32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8</v>
      </c>
      <c r="G30" s="20">
        <f>F30/COUNT(Data!$A$2:$A$500)</f>
        <v>0.16</v>
      </c>
      <c r="H30" s="4"/>
      <c r="I30" s="4"/>
      <c r="J30" s="4"/>
      <c r="K30" s="4"/>
      <c r="L30" s="4"/>
      <c r="M30" s="4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x14ac:dyDescent="0.25">
      <c r="A31" s="165" t="s">
        <v>41</v>
      </c>
      <c r="B31" s="166"/>
      <c r="C31" s="166"/>
      <c r="D31" s="166"/>
      <c r="E31" s="167"/>
      <c r="F31" s="32">
        <f>COUNTIF(Data!H$2:H$500,"Не є учасником судових проваджень")</f>
        <v>24</v>
      </c>
      <c r="G31" s="20">
        <f>F31/COUNT(Data!$A$2:$A$500)</f>
        <v>0.48</v>
      </c>
      <c r="H31" s="4"/>
      <c r="I31" s="4"/>
      <c r="J31" s="4"/>
      <c r="K31" s="4"/>
      <c r="L31" s="4"/>
      <c r="M31" s="4"/>
      <c r="N31" s="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x14ac:dyDescent="0.25">
      <c r="A32" s="165" t="s">
        <v>23</v>
      </c>
      <c r="B32" s="166"/>
      <c r="C32" s="166"/>
      <c r="D32" s="166"/>
      <c r="E32" s="167"/>
      <c r="F32" s="32">
        <f>COUNTIF(Data!H$2:H$500,"Інше")</f>
        <v>0</v>
      </c>
      <c r="G32" s="20">
        <f>F32/COUNT(Data!$A$2:$A$500)</f>
        <v>0</v>
      </c>
      <c r="H32" s="4"/>
      <c r="I32" s="4"/>
      <c r="J32" s="4"/>
      <c r="K32" s="4"/>
      <c r="L32" s="4"/>
      <c r="M32" s="4"/>
      <c r="N32" s="4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x14ac:dyDescent="0.25">
      <c r="A33" s="4"/>
      <c r="B33" s="4"/>
      <c r="C33" s="4"/>
      <c r="D33" s="4"/>
      <c r="E33" s="5"/>
      <c r="F33" s="5"/>
      <c r="G33" s="25"/>
      <c r="H33" s="4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63" x14ac:dyDescent="0.25">
      <c r="A34" s="35" t="s">
        <v>45</v>
      </c>
      <c r="B34" s="37" t="s">
        <v>4</v>
      </c>
      <c r="C34" s="39" t="s">
        <v>5</v>
      </c>
      <c r="D34" s="4"/>
      <c r="E34" s="35" t="s">
        <v>47</v>
      </c>
      <c r="F34" s="37" t="s">
        <v>4</v>
      </c>
      <c r="G34" s="39" t="s">
        <v>5</v>
      </c>
      <c r="H34" s="4"/>
      <c r="I34" s="4"/>
      <c r="J34" s="4"/>
      <c r="K34" s="4"/>
      <c r="L34" s="4"/>
      <c r="M34" s="4"/>
      <c r="N34" s="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x14ac:dyDescent="0.25">
      <c r="A35" s="40" t="s">
        <v>43</v>
      </c>
      <c r="B35" s="19">
        <f>COUNTIF(Data!I$2:I$500,"Цивільний процес")</f>
        <v>22</v>
      </c>
      <c r="C35" s="20">
        <f>B35/COUNT(Data!$A$2:$A$500)</f>
        <v>0.44</v>
      </c>
      <c r="D35" s="4"/>
      <c r="E35" s="41" t="s">
        <v>50</v>
      </c>
      <c r="F35" s="19">
        <f>COUNTIF(Data!J$2:J$500,"Розгляд справи ще не розпочато")</f>
        <v>2</v>
      </c>
      <c r="G35" s="20">
        <f>F35/COUNT(Data!$A$2:$A$500)</f>
        <v>0.04</v>
      </c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x14ac:dyDescent="0.25">
      <c r="A36" s="40" t="s">
        <v>44</v>
      </c>
      <c r="B36" s="19">
        <f>COUNTIF(Data!I$2:I$500,"Кримінальний процес")</f>
        <v>1</v>
      </c>
      <c r="C36" s="20">
        <f>B36/COUNT(Data!$A$2:$A$500)</f>
        <v>0.02</v>
      </c>
      <c r="D36" s="4"/>
      <c r="E36" s="41" t="s">
        <v>52</v>
      </c>
      <c r="F36" s="19">
        <f>COUNTIF(Data!J$2:J$500,"Справа перебуває в процесі розгляду")</f>
        <v>19</v>
      </c>
      <c r="G36" s="20">
        <f>F36/COUNT(Data!$A$2:$A$500)</f>
        <v>0.38</v>
      </c>
      <c r="H36" s="4"/>
      <c r="I36" s="4"/>
      <c r="J36" s="4"/>
      <c r="K36" s="4"/>
      <c r="L36" s="4"/>
      <c r="M36" s="4"/>
      <c r="N36" s="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x14ac:dyDescent="0.25">
      <c r="A37" s="44" t="s">
        <v>46</v>
      </c>
      <c r="B37" s="19">
        <f>COUNTIF(Data!I$2:I$500,"Адміністративний процес")</f>
        <v>3</v>
      </c>
      <c r="C37" s="20">
        <f>B37/COUNT(Data!$A$2:$A$500)</f>
        <v>0.06</v>
      </c>
      <c r="D37" s="4"/>
      <c r="E37" s="41" t="s">
        <v>53</v>
      </c>
      <c r="F37" s="19">
        <f>COUNTIF(Data!J$2:J$500,"Розгляд справи завершено (винесено рішення)")</f>
        <v>7</v>
      </c>
      <c r="G37" s="20">
        <f>F37/COUNT(Data!$A$2:$A$500)</f>
        <v>0.14000000000000001</v>
      </c>
      <c r="H37" s="4"/>
      <c r="I37" s="4"/>
      <c r="J37" s="4"/>
      <c r="K37" s="4"/>
      <c r="L37" s="4"/>
      <c r="M37" s="4"/>
      <c r="N37" s="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x14ac:dyDescent="0.25">
      <c r="A38" s="44" t="s">
        <v>48</v>
      </c>
      <c r="B38" s="19">
        <f>COUNTIF(Data!I$2:I$500,"Господарський процес")</f>
        <v>0</v>
      </c>
      <c r="C38" s="20">
        <f>B38/COUNT(Data!$A$2:$A$500)</f>
        <v>0</v>
      </c>
      <c r="D38" s="4"/>
      <c r="E38" s="41" t="s">
        <v>23</v>
      </c>
      <c r="F38" s="19">
        <f>COUNTIF(Data!J$2:J$500,"Інше")</f>
        <v>22</v>
      </c>
      <c r="G38" s="20">
        <f>F38/COUNT(Data!$A$2:$A$500)</f>
        <v>0.44</v>
      </c>
      <c r="H38" s="4"/>
      <c r="I38" s="4"/>
      <c r="J38" s="4"/>
      <c r="K38" s="4"/>
      <c r="L38" s="4"/>
      <c r="M38" s="4"/>
      <c r="N38" s="4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45" x14ac:dyDescent="0.25">
      <c r="A39" s="44" t="s">
        <v>49</v>
      </c>
      <c r="B39" s="19">
        <f>COUNTIF(Data!I$2:I$500,"Справа про адміністративні  правопорушення")</f>
        <v>2</v>
      </c>
      <c r="C39" s="20">
        <f>B39/COUNT(Data!$A$2:$A$500)</f>
        <v>0.04</v>
      </c>
      <c r="D39" s="4"/>
      <c r="F39" s="5"/>
      <c r="G39" s="25"/>
      <c r="H39" s="4"/>
      <c r="I39" s="4"/>
      <c r="J39" s="4"/>
      <c r="K39" s="4"/>
      <c r="L39" s="4"/>
      <c r="M39" s="4"/>
      <c r="N39" s="4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x14ac:dyDescent="0.25">
      <c r="A40" s="4"/>
      <c r="B40" s="4"/>
      <c r="C40" s="4"/>
      <c r="D40" s="4"/>
      <c r="E40" s="5"/>
      <c r="F40" s="5"/>
      <c r="G40" s="25"/>
      <c r="H40" s="4"/>
      <c r="I40" s="4"/>
      <c r="J40" s="4"/>
      <c r="K40" s="4"/>
      <c r="L40" s="4"/>
      <c r="M40" s="4"/>
      <c r="N40" s="4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x14ac:dyDescent="0.25">
      <c r="A41" s="157" t="s">
        <v>60</v>
      </c>
      <c r="B41" s="136"/>
      <c r="C41" s="136"/>
      <c r="D41" s="136"/>
      <c r="E41" s="137"/>
      <c r="F41" s="37" t="s">
        <v>4</v>
      </c>
      <c r="G41" s="39" t="s">
        <v>5</v>
      </c>
      <c r="H41" s="4"/>
      <c r="I41" s="4"/>
      <c r="J41" s="4"/>
      <c r="K41" s="4"/>
      <c r="L41" s="4"/>
      <c r="M41" s="4"/>
      <c r="N41" s="4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x14ac:dyDescent="0.25">
      <c r="A42" s="51" t="s">
        <v>61</v>
      </c>
      <c r="B42" s="52"/>
      <c r="C42" s="52"/>
      <c r="D42" s="52"/>
      <c r="E42" s="53"/>
      <c r="F42" s="19">
        <f>COUNTIF(Data!K$2:K$500,"Не був ніколи учасником процесу в цьому суді")</f>
        <v>21</v>
      </c>
      <c r="G42" s="20">
        <f>F42/COUNT(Data!$A$2:$A$500)</f>
        <v>0.42</v>
      </c>
      <c r="H42" s="4"/>
      <c r="I42" s="4"/>
      <c r="J42" s="4"/>
      <c r="K42" s="4"/>
      <c r="L42" s="4"/>
      <c r="M42" s="4"/>
      <c r="N42" s="4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x14ac:dyDescent="0.25">
      <c r="A43" s="51" t="s">
        <v>62</v>
      </c>
      <c r="B43" s="52"/>
      <c r="C43" s="52"/>
      <c r="D43" s="52"/>
      <c r="E43" s="53"/>
      <c r="F43" s="19">
        <f>COUNTIF(Data!K$2:K$500,"Це мій перший судовий процес")</f>
        <v>9</v>
      </c>
      <c r="G43" s="20">
        <f>F43/COUNT(Data!$A$2:$A$500)</f>
        <v>0.18</v>
      </c>
      <c r="H43" s="4"/>
      <c r="I43" s="4"/>
      <c r="J43" s="4"/>
      <c r="K43" s="4"/>
      <c r="L43" s="4"/>
      <c r="M43" s="4"/>
      <c r="N43" s="4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x14ac:dyDescent="0.25">
      <c r="A44" s="51" t="s">
        <v>64</v>
      </c>
      <c r="B44" s="52"/>
      <c r="C44" s="52"/>
      <c r="D44" s="52"/>
      <c r="E44" s="53"/>
      <c r="F44" s="19">
        <f>COUNTIF(Data!K$2:K$500,"2–5 разів")</f>
        <v>12</v>
      </c>
      <c r="G44" s="20">
        <f>F44/COUNT(Data!$A$2:$A$500)</f>
        <v>0.24</v>
      </c>
      <c r="H44" s="4"/>
      <c r="I44" s="4"/>
      <c r="J44" s="4"/>
      <c r="K44" s="4"/>
      <c r="L44" s="4"/>
      <c r="M44" s="4"/>
      <c r="N44" s="4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x14ac:dyDescent="0.25">
      <c r="A45" s="51" t="s">
        <v>65</v>
      </c>
      <c r="B45" s="52"/>
      <c r="C45" s="52"/>
      <c r="D45" s="52"/>
      <c r="E45" s="53"/>
      <c r="F45" s="19">
        <f>COUNTIF(Data!K$2:K$500,"6 разів і більше")</f>
        <v>8</v>
      </c>
      <c r="G45" s="20">
        <f>F45/COUNT(Data!$A$2:$A$500)</f>
        <v>0.16</v>
      </c>
      <c r="H45" s="4"/>
      <c r="I45" s="4"/>
      <c r="J45" s="4"/>
      <c r="K45" s="4"/>
      <c r="L45" s="4"/>
      <c r="M45" s="4"/>
      <c r="N45" s="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x14ac:dyDescent="0.25">
      <c r="A46" s="4"/>
      <c r="B46" s="4"/>
      <c r="C46" s="4"/>
      <c r="D46" s="4"/>
      <c r="E46" s="5"/>
      <c r="F46" s="5"/>
      <c r="G46" s="25"/>
      <c r="H46" s="4"/>
      <c r="I46" s="4"/>
      <c r="J46" s="4"/>
      <c r="K46" s="4"/>
      <c r="L46" s="4"/>
      <c r="M46" s="4"/>
      <c r="N46" s="4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55" t="s">
        <v>66</v>
      </c>
      <c r="B47" s="13"/>
      <c r="C47" s="13"/>
      <c r="D47" s="13"/>
      <c r="E47" s="13"/>
      <c r="F47" s="37" t="s">
        <v>4</v>
      </c>
      <c r="G47" s="39" t="s">
        <v>5</v>
      </c>
      <c r="H47" s="4"/>
      <c r="I47" s="4"/>
      <c r="J47" s="4"/>
      <c r="K47" s="4"/>
      <c r="L47" s="4"/>
      <c r="M47" s="4"/>
      <c r="N47" s="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x14ac:dyDescent="0.25">
      <c r="A48" s="173" t="s">
        <v>61</v>
      </c>
      <c r="B48" s="136"/>
      <c r="C48" s="136"/>
      <c r="D48" s="136"/>
      <c r="E48" s="137"/>
      <c r="F48" s="19">
        <f>COUNTIF(Data!L$2:L$500,"Жодного разу")</f>
        <v>29</v>
      </c>
      <c r="G48" s="20">
        <f>F48/COUNT(Data!$A$2:$A$500)</f>
        <v>0.57999999999999996</v>
      </c>
      <c r="H48" s="4"/>
      <c r="I48" s="4"/>
      <c r="J48" s="4"/>
      <c r="K48" s="4"/>
      <c r="L48" s="4"/>
      <c r="M48" s="4"/>
      <c r="N48" s="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x14ac:dyDescent="0.25">
      <c r="A49" s="173" t="s">
        <v>62</v>
      </c>
      <c r="B49" s="136"/>
      <c r="C49" s="136"/>
      <c r="D49" s="136"/>
      <c r="E49" s="137"/>
      <c r="F49" s="19">
        <f>COUNTIF(Data!L$2:L$500,"Один раз")</f>
        <v>4</v>
      </c>
      <c r="G49" s="20">
        <f>F49/COUNT(Data!$A$2:$A$500)</f>
        <v>0.08</v>
      </c>
      <c r="H49" s="4"/>
      <c r="I49" s="4"/>
      <c r="J49" s="4"/>
      <c r="K49" s="4"/>
      <c r="L49" s="4"/>
      <c r="M49" s="4"/>
      <c r="N49" s="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x14ac:dyDescent="0.25">
      <c r="A50" s="173" t="s">
        <v>64</v>
      </c>
      <c r="B50" s="136"/>
      <c r="C50" s="136"/>
      <c r="D50" s="136"/>
      <c r="E50" s="137"/>
      <c r="F50" s="19">
        <f>COUNTIF(Data!L$2:L$500,"2–5 разів")</f>
        <v>9</v>
      </c>
      <c r="G50" s="20">
        <f>F50/COUNT(Data!$A$2:$A$500)</f>
        <v>0.18</v>
      </c>
      <c r="H50" s="4"/>
      <c r="I50" s="4"/>
      <c r="J50" s="4"/>
      <c r="K50" s="4"/>
      <c r="L50" s="4"/>
      <c r="M50" s="4"/>
      <c r="N50" s="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x14ac:dyDescent="0.25">
      <c r="A51" s="173" t="s">
        <v>65</v>
      </c>
      <c r="B51" s="136"/>
      <c r="C51" s="136"/>
      <c r="D51" s="136"/>
      <c r="E51" s="137"/>
      <c r="F51" s="19">
        <f>COUNTIF(Data!L$2:L$500,"6 разів і більше")</f>
        <v>8</v>
      </c>
      <c r="G51" s="20">
        <f>F51/COUNT(Data!$A$2:$A$500)</f>
        <v>0.16</v>
      </c>
      <c r="H51" s="4"/>
      <c r="I51" s="4"/>
      <c r="J51" s="4"/>
      <c r="K51" s="4"/>
      <c r="L51" s="4"/>
      <c r="M51" s="4"/>
      <c r="N51" s="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x14ac:dyDescent="0.25">
      <c r="A52" s="4"/>
      <c r="B52" s="4"/>
      <c r="C52" s="4"/>
      <c r="D52" s="4"/>
      <c r="E52" s="5"/>
      <c r="F52" s="5"/>
      <c r="G52" s="25"/>
      <c r="H52" s="4"/>
      <c r="I52" s="4"/>
      <c r="J52" s="4"/>
      <c r="K52" s="4"/>
      <c r="L52" s="4"/>
      <c r="M52" s="4"/>
      <c r="N52" s="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x14ac:dyDescent="0.25">
      <c r="A53" s="157" t="s">
        <v>69</v>
      </c>
      <c r="B53" s="136"/>
      <c r="C53" s="136"/>
      <c r="D53" s="136"/>
      <c r="E53" s="137"/>
      <c r="F53" s="37" t="s">
        <v>4</v>
      </c>
      <c r="G53" s="39" t="s">
        <v>5</v>
      </c>
      <c r="H53" s="4"/>
      <c r="I53" s="4"/>
      <c r="J53" s="4"/>
      <c r="K53" s="4"/>
      <c r="L53" s="4"/>
      <c r="M53" s="4"/>
      <c r="N53" s="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x14ac:dyDescent="0.25">
      <c r="A54" s="172">
        <v>5</v>
      </c>
      <c r="B54" s="136"/>
      <c r="C54" s="136"/>
      <c r="D54" s="136"/>
      <c r="E54" s="137"/>
      <c r="F54" s="19">
        <f>COUNTIF(Data!M$2:M$500,5)</f>
        <v>22</v>
      </c>
      <c r="G54" s="20">
        <f>F54/COUNT(Data!$A$2:$A$500)</f>
        <v>0.44</v>
      </c>
      <c r="H54" s="5"/>
      <c r="I54" s="4"/>
      <c r="J54" s="4"/>
      <c r="K54" s="4"/>
      <c r="L54" s="4"/>
      <c r="M54" s="4"/>
      <c r="N54" s="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x14ac:dyDescent="0.25">
      <c r="A55" s="172">
        <v>4</v>
      </c>
      <c r="B55" s="136"/>
      <c r="C55" s="136"/>
      <c r="D55" s="136"/>
      <c r="E55" s="137"/>
      <c r="F55" s="19">
        <f>COUNTIF(Data!M$2:M$500,4)</f>
        <v>21</v>
      </c>
      <c r="G55" s="20">
        <f>F55/COUNT(Data!$A$2:$A$500)</f>
        <v>0.42</v>
      </c>
      <c r="H55" s="4"/>
      <c r="I55" s="4"/>
      <c r="J55" s="4"/>
      <c r="K55" s="4"/>
      <c r="L55" s="4"/>
      <c r="M55" s="4"/>
      <c r="N55" s="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x14ac:dyDescent="0.25">
      <c r="A56" s="172">
        <v>3</v>
      </c>
      <c r="B56" s="136"/>
      <c r="C56" s="136"/>
      <c r="D56" s="136"/>
      <c r="E56" s="137"/>
      <c r="F56" s="19">
        <f>COUNTIF(Data!M$2:M$500,3)</f>
        <v>0</v>
      </c>
      <c r="G56" s="20">
        <f>F56/COUNT(Data!$A$2:$A$500)</f>
        <v>0</v>
      </c>
      <c r="H56" s="4"/>
      <c r="I56" s="4"/>
      <c r="J56" s="4"/>
      <c r="K56" s="4"/>
      <c r="L56" s="4"/>
      <c r="M56" s="4"/>
      <c r="N56" s="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x14ac:dyDescent="0.25">
      <c r="A57" s="172">
        <v>2</v>
      </c>
      <c r="B57" s="136"/>
      <c r="C57" s="136"/>
      <c r="D57" s="136"/>
      <c r="E57" s="137"/>
      <c r="F57" s="19">
        <f>COUNTIF(Data!M$2:M$500,2)</f>
        <v>0</v>
      </c>
      <c r="G57" s="20">
        <f>F57/COUNT(Data!$A$2:$A$500)</f>
        <v>0</v>
      </c>
      <c r="H57" s="4"/>
      <c r="I57" s="4"/>
      <c r="J57" s="4"/>
      <c r="K57" s="4"/>
      <c r="L57" s="4"/>
      <c r="M57" s="4"/>
      <c r="N57" s="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x14ac:dyDescent="0.25">
      <c r="A58" s="172">
        <v>1</v>
      </c>
      <c r="B58" s="136"/>
      <c r="C58" s="136"/>
      <c r="D58" s="136"/>
      <c r="E58" s="137"/>
      <c r="F58" s="19">
        <f>COUNTIF(Data!M$2:M$500,1)</f>
        <v>0</v>
      </c>
      <c r="G58" s="20">
        <f>F58/COUNT(Data!$A$2:$A$500)</f>
        <v>0</v>
      </c>
      <c r="H58" s="4"/>
      <c r="I58" s="4"/>
      <c r="J58" s="4"/>
      <c r="K58" s="4"/>
      <c r="L58" s="4"/>
      <c r="M58" s="4"/>
      <c r="N58" s="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x14ac:dyDescent="0.25">
      <c r="A59" s="172">
        <v>9</v>
      </c>
      <c r="B59" s="136"/>
      <c r="C59" s="136"/>
      <c r="D59" s="136"/>
      <c r="E59" s="137"/>
      <c r="F59" s="19">
        <f>COUNTIF(Data!M$2:M$500,9)</f>
        <v>7</v>
      </c>
      <c r="G59" s="20">
        <f>F59/COUNT(Data!$A$2:$A$500)</f>
        <v>0.14000000000000001</v>
      </c>
      <c r="H59" s="4"/>
      <c r="I59" s="4"/>
      <c r="J59" s="4"/>
      <c r="K59" s="4"/>
      <c r="L59" s="4"/>
      <c r="M59" s="4"/>
      <c r="N59" s="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.75" x14ac:dyDescent="0.3">
      <c r="A60" s="175" t="s">
        <v>72</v>
      </c>
      <c r="B60" s="136"/>
      <c r="C60" s="136"/>
      <c r="D60" s="136"/>
      <c r="E60" s="137"/>
      <c r="F60" s="57">
        <f>((F54*5)+(F55*4)+(F56*3)+(F57*2)+(F58*1))/SUM(F54:F58)</f>
        <v>4.5116279069767442</v>
      </c>
      <c r="G60" s="39"/>
      <c r="H60" s="4"/>
      <c r="I60" s="4"/>
      <c r="J60" s="4"/>
      <c r="K60" s="4"/>
      <c r="L60" s="4"/>
      <c r="M60" s="4"/>
      <c r="N60" s="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x14ac:dyDescent="0.25">
      <c r="A61" s="169" t="s">
        <v>73</v>
      </c>
      <c r="B61" s="136"/>
      <c r="C61" s="136"/>
      <c r="D61" s="136"/>
      <c r="E61" s="137"/>
      <c r="F61" s="58">
        <f>((COUNTIFS(Data!B$2:B$500,"18–25 років",Data!M$2:M$500,5)*5)+(COUNTIFS(Data!B$2:B$500,"18–25 років",Data!M$2:M$500,4)*4)+(COUNTIFS(Data!B$2:B$500,"18–25 років",Data!M$2:M$500,3)*3)+(COUNTIFS(Data!B$2:B$500,"18–25 років",Data!M$2:M$500,2)*2)+(COUNTIFS(Data!B$2:B$500,"18–25 років",Data!M$2:M$500,1)*1))/(COUNTIFS(Data!B$2:B$500,"18–25 років",Data!M$2:M$500,5)+(COUNTIFS(Data!B$2:B$500,"18–25 років",Data!M$2:M$500,4)+(COUNTIFS(Data!B$2:B$500,"18–25 років",Data!M$2:M$500,3)+(COUNTIFS(Data!B$2:B$500,"18–25 років",Data!M$2:M$500,2)+(COUNTIFS(Data!B$2:B$500,"18–25 років",Data!M$2:M$500,1))))))</f>
        <v>4.4615384615384617</v>
      </c>
      <c r="G61" s="28"/>
      <c r="H61" s="4"/>
      <c r="I61" s="4"/>
      <c r="J61" s="4"/>
      <c r="K61" s="4"/>
      <c r="L61" s="4"/>
      <c r="M61" s="4"/>
      <c r="N61" s="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x14ac:dyDescent="0.25">
      <c r="A62" s="169" t="s">
        <v>76</v>
      </c>
      <c r="B62" s="136"/>
      <c r="C62" s="136"/>
      <c r="D62" s="136"/>
      <c r="E62" s="137"/>
      <c r="F62" s="58">
        <f>((COUNTIFS(Data!B$2:B$500,"26–39 років",Data!M$2:M$500,5)*5)+(COUNTIFS(Data!B$2:B$500,"26–39 років",Data!M$2:M$500,4)*4)+(COUNTIFS(Data!B$2:B$500,"26–39 років",Data!M$2:M$500,3)*3)+(COUNTIFS(Data!B$2:B$500,"26–39 років",Data!M$2:M$500,2)*2)+(COUNTIFS(Data!B$2:B$500,"26–39 років",Data!M$2:M$500,1)*1))/(COUNTIFS(Data!B$2:B$500,"26–39 років",Data!M$2:M$500,5)+(COUNTIFS(Data!B$2:B$500,"26–39 років",Data!M$2:M$500,4)+(COUNTIFS(Data!B$2:B$500,"26–39 років",Data!M$2:M$500,3)+(COUNTIFS(Data!B$2:B$500,"26–39 років",Data!M$2:M$500,2)+(COUNTIFS(Data!B$2:B$500,"26–39 років",Data!M$2:M$500,1))))))</f>
        <v>4.4736842105263159</v>
      </c>
      <c r="G62" s="28"/>
      <c r="H62" s="4"/>
      <c r="I62" s="4"/>
      <c r="J62" s="4"/>
      <c r="K62" s="4"/>
      <c r="L62" s="4"/>
      <c r="M62" s="4"/>
      <c r="N62" s="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x14ac:dyDescent="0.25">
      <c r="A63" s="169" t="s">
        <v>78</v>
      </c>
      <c r="B63" s="136"/>
      <c r="C63" s="136"/>
      <c r="D63" s="136"/>
      <c r="E63" s="137"/>
      <c r="F63" s="58">
        <f>((COUNTIFS(Data!B$2:B$500,"40–59 років",Data!M$2:M$500,5)*5)+(COUNTIFS(Data!B$2:B$500,"40–59 років",Data!M$2:M$500,4)*4)+(COUNTIFS(Data!B$2:B$500,"40–59 років",Data!M$2:M$500,3)*3)+(COUNTIFS(Data!B$2:B$500,"40–59 років",Data!M$2:M$500,2)*2)+(COUNTIFS(Data!B$2:B$500,"40–59 років",Data!M$2:M$500,1)*1))/(COUNTIFS(Data!B$2:B$500,"40–59 років",Data!M$2:M$500,5)+(COUNTIFS(Data!B$2:B$500,"40–59 років",Data!M$2:M$500,4)+(COUNTIFS(Data!B$2:B$500,"40–59 років",Data!M$2:M$500,3)+(COUNTIFS(Data!B$2:B$500,"40–59 років",Data!M$2:M$500,2)+(COUNTIFS(Data!B$2:B$500,"40–59 років",Data!M$2:M$500,1))))))</f>
        <v>4.7</v>
      </c>
      <c r="G63" s="28"/>
      <c r="H63" s="4"/>
      <c r="I63" s="4"/>
      <c r="J63" s="4"/>
      <c r="K63" s="4"/>
      <c r="L63" s="4"/>
      <c r="M63" s="4"/>
      <c r="N63" s="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x14ac:dyDescent="0.25">
      <c r="A64" s="169" t="s">
        <v>80</v>
      </c>
      <c r="B64" s="136"/>
      <c r="C64" s="136"/>
      <c r="D64" s="136"/>
      <c r="E64" s="137"/>
      <c r="F64" s="58">
        <f>((COUNTIFS(Data!B$2:B$500,"60 років і старше",Data!M$2:M$500,5)*5)+(COUNTIFS(Data!B$2:B$500,"60 років і старше",Data!M$2:M$500,4)*4)+(COUNTIFS(Data!B$2:B$500,"60 років і старше",Data!M$2:M$500,3)*3)+(COUNTIFS(Data!B$2:B$500,"60 років і старше",Data!M$2:M$500,2)*2)+(COUNTIFS(Data!B$2:B$500,"60 років і старше",Data!M$2:M$500,1)*1))/(COUNTIFS(Data!B$2:B$500,"60 років і старше",Data!M$2:M$500,5)+(COUNTIFS(Data!B$2:B$500,"60 років і старше",Data!M$2:M$500,4)+(COUNTIFS(Data!B$2:B$500,"60 років і старше",Data!M$2:M$500,3)+(COUNTIFS(Data!B$2:B$500,"60 років і старше",Data!M$2:M$500,2)+(COUNTIFS(Data!B$2:B$500,"60 років і старше",Data!M$2:M$500,1))))))</f>
        <v>4</v>
      </c>
      <c r="G64" s="28"/>
      <c r="H64" s="4"/>
      <c r="I64" s="4"/>
      <c r="J64" s="4"/>
      <c r="K64" s="4"/>
      <c r="L64" s="4"/>
      <c r="M64" s="4"/>
      <c r="N64" s="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x14ac:dyDescent="0.25">
      <c r="A65" s="162" t="s">
        <v>83</v>
      </c>
      <c r="B65" s="136"/>
      <c r="C65" s="136"/>
      <c r="D65" s="136"/>
      <c r="E65" s="137"/>
      <c r="F65" s="59">
        <f>((COUNTIFS(Data!C$2:C$500,"жіноча",Data!M$2:M$500,5)*5)+(COUNTIFS(Data!C$2:C$500,"жіноча",Data!M$2:M$500,4)*4)+(COUNTIFS(Data!C$2:C$500,"жіноча",Data!M$2:M$500,3)*3)+(COUNTIFS(Data!C$2:C$500,"жіноча",Data!M$2:M$500,2)*2)+(COUNTIFS(Data!C$2:C$500,"жіноча",Data!M$2:M$500,1)*1))/(COUNTIFS(Data!C$2:C$500,"жіноча",Data!M$2:M$500,5)+(COUNTIFS(Data!C$2:C$500,"жіноча",Data!M$2:M$500,4)+(COUNTIFS(Data!C$2:C$500,"жіноча",Data!M$2:M$500,3)+(COUNTIFS(Data!C$2:C$500,"жіноча",Data!M$2:M$500,2)+(COUNTIFS(Data!C$2:C$500,"жіноча",Data!M$2:M$500,1))))))</f>
        <v>4.5238095238095237</v>
      </c>
      <c r="G65" s="28"/>
      <c r="H65" s="4"/>
      <c r="I65" s="4"/>
      <c r="J65" s="4"/>
      <c r="K65" s="4"/>
      <c r="L65" s="4"/>
      <c r="M65" s="4"/>
      <c r="N65" s="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x14ac:dyDescent="0.25">
      <c r="A66" s="162" t="s">
        <v>85</v>
      </c>
      <c r="B66" s="136"/>
      <c r="C66" s="136"/>
      <c r="D66" s="136"/>
      <c r="E66" s="137"/>
      <c r="F66" s="59">
        <f>((COUNTIFS(Data!C$2:C$500,"чоловіча",Data!M$2:M$500,5)*5)+(COUNTIFS(Data!C$2:C$500,"чоловіча",Data!M$2:M$500,4)*4)+(COUNTIFS(Data!C$2:C$500,"чоловіча",Data!M$2:M$500,3)*3)+(COUNTIFS(Data!C$2:C$500,"чоловіча",Data!M$2:M$500,2)*2)+(COUNTIFS(Data!C$2:C$500,"чоловіча",Data!M$2:M$500,1)*1))/(COUNTIFS(Data!C$2:C$500,"чоловіча",Data!M$2:M$500,5)+(COUNTIFS(Data!C$2:C$500,"чоловіча",Data!M$2:M$500,4)+(COUNTIFS(Data!C$2:C$500,"чоловіча",Data!M$2:M$500,3)+(COUNTIFS(Data!C$2:C$500,"чоловіча",Data!M$2:M$500,2)+(COUNTIFS(Data!C$2:C$500,"чоловіча",Data!M$2:M$500,1))))))</f>
        <v>4.5</v>
      </c>
      <c r="G66" s="28"/>
      <c r="H66" s="4"/>
      <c r="I66" s="4"/>
      <c r="J66" s="4"/>
      <c r="K66" s="4"/>
      <c r="L66" s="4"/>
      <c r="M66" s="4"/>
      <c r="N66" s="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x14ac:dyDescent="0.25">
      <c r="A67" s="161" t="s">
        <v>87</v>
      </c>
      <c r="B67" s="136"/>
      <c r="C67" s="136"/>
      <c r="D67" s="136"/>
      <c r="E67" s="137"/>
      <c r="F67" s="60">
        <f>((COUNTIFS(Data!D$2:D$500,"Середня та неповна середня",Data!M$2:M$500,5)*5)+(COUNTIFS(Data!D$2:D$500,"Середня та неповна середня",Data!M$2:M$500,4)*4)+(COUNTIFS(Data!D$2:D$500,"Середня та неповна середня",Data!M$2:M$500,3)*3)+(COUNTIFS(Data!D$2:D$500,"Середня та неповна середня",Data!M$2:M$500,2)*2)+(COUNTIFS(Data!D$2:D$500,"Середня та неповна середня",Data!M$2:M$500,1)*1))/(COUNTIFS(Data!D$2:D$500,"Середня та неповна середня",Data!M$2:M$500,5)+(COUNTIFS(Data!D$2:D$500,"Середня та неповна середня",Data!M$2:M$500,4)+(COUNTIFS(Data!D$2:D$500,"Середня та неповна середня",Data!M$2:M$500,3)+(COUNTIFS(Data!D$2:D$500,"Середня та неповна середня",Data!M$2:M$500,2)+(COUNTIFS(Data!D$2:D$500,"Середня та неповна середня",Data!M$2:M$500,1))))))</f>
        <v>4.3157894736842106</v>
      </c>
      <c r="G67" s="28"/>
      <c r="H67" s="4"/>
      <c r="I67" s="4"/>
      <c r="J67" s="4"/>
      <c r="K67" s="4"/>
      <c r="L67" s="4"/>
      <c r="M67" s="4"/>
      <c r="N67" s="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x14ac:dyDescent="0.25">
      <c r="A68" s="161" t="s">
        <v>89</v>
      </c>
      <c r="B68" s="136"/>
      <c r="C68" s="136"/>
      <c r="D68" s="136"/>
      <c r="E68" s="137"/>
      <c r="F68" s="60">
        <f>((COUNTIFS(Data!D$2:D$500,"Вища та неповна вища",Data!M$2:M$500,5)*5)+(COUNTIFS(Data!D$2:D$500,"Вища та неповна вища",Data!M$2:M$500,4)*4)+(COUNTIFS(Data!D$2:D$500,"Вища та неповна вища",Data!M$2:M$500,3)*3)+(COUNTIFS(Data!D$2:D$500,"Вища та неповна вища",Data!M$2:M$500,2)*2)+(COUNTIFS(Data!D$2:D$500,"Вища та неповна вища",Data!M$2:M$500,1)*1))/(COUNTIFS(Data!D$2:D$500,"Вища та неповна вища",Data!M$2:M$500,5)+(COUNTIFS(Data!D$2:D$500,"Вища та неповна вища",Data!M$2:M$500,4)+(COUNTIFS(Data!D$2:D$500,"Вища та неповна вища",Data!M$2:M$500,3)+(COUNTIFS(Data!D$2:D$500,"Вища та неповна вища",Data!M$2:M$500,2)+(COUNTIFS(Data!D$2:D$500,"Вища та неповна вища",Data!M$2:M$500,1))))))</f>
        <v>4.666666666666667</v>
      </c>
      <c r="G68" s="28"/>
      <c r="H68" s="4"/>
      <c r="I68" s="4"/>
      <c r="J68" s="4"/>
      <c r="K68" s="4"/>
      <c r="L68" s="4"/>
      <c r="M68" s="4"/>
      <c r="N68" s="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x14ac:dyDescent="0.25">
      <c r="A69" s="161" t="s">
        <v>92</v>
      </c>
      <c r="B69" s="136"/>
      <c r="C69" s="136"/>
      <c r="D69" s="136"/>
      <c r="E69" s="137"/>
      <c r="F69" s="60" t="e">
        <f>((COUNTIFS(Data!D$2:D$500,"Інше (вкажіть)",Data!M$2:M$500,5)*5)+(COUNTIFS(Data!D$2:D$500,"Інше (вкажіть)",Data!M$2:M$500,4)*4)+(COUNTIFS(Data!D$2:D$500,"Інше (вкажіть)",Data!M$2:M$500,3)*3)+(COUNTIFS(Data!D$2:D$500,"Інше (вкажіть)",Data!M$2:M$500,2)*2)+(COUNTIFS(Data!D$2:D$500,"Інше (вкажіть)",Data!M$2:M$500,1)*1))/(COUNTIFS(Data!D$2:D$500,"Інше (вкажіть)",Data!M$2:M$500,5)+(COUNTIFS(Data!D$2:D$500,"Інше (вкажіть)",Data!M$2:M$500,4)+(COUNTIFS(Data!D$2:D$500,"Інше (вкажіть)",Data!M$2:M$500,3)+(COUNTIFS(Data!D$2:D$500,"Інше (вкажіть)",Data!M$2:M$500,2)+(COUNTIFS(Data!D$2:D$500,"Інше (вкажіть)",Data!M$2:M$500,1))))))</f>
        <v>#DIV/0!</v>
      </c>
      <c r="G69" s="28"/>
      <c r="H69" s="4"/>
      <c r="I69" s="4"/>
      <c r="J69" s="4"/>
      <c r="K69" s="4"/>
      <c r="L69" s="4"/>
      <c r="M69" s="4"/>
      <c r="N69" s="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x14ac:dyDescent="0.25">
      <c r="A70" s="171" t="s">
        <v>94</v>
      </c>
      <c r="B70" s="136"/>
      <c r="C70" s="136"/>
      <c r="D70" s="136"/>
      <c r="E70" s="137"/>
      <c r="F70" s="61">
        <f>((COUNTIFS(Data!E$2:E$500,"Так",Data!M$2:M$500,5)*5)+(COUNTIFS(Data!E$2:E$500,"Так",Data!M$2:M$500,4)*4)+(COUNTIFS(Data!E$2:E$500,"Так",Data!M$2:M$500,3)*3)+(COUNTIFS(Data!E$2:E$500,"Так",Data!M$2:M$500,2)*2)+(COUNTIFS(Data!E$2:E$500,"Так",Data!M$2:M$500,1)*1))/(COUNTIFS(Data!E$2:E$500,"Так",Data!M$2:M$500,5)+(COUNTIFS(Data!E$2:E$500,"Так",Data!M$2:M$500,4)+(COUNTIFS(Data!E$2:E$500,"Так",Data!M$2:M$500,3)+(COUNTIFS(Data!E$2:E$500,"Так",Data!M$2:M$500,2)+(COUNTIFS(Data!E$2:E$500,"Так",Data!M$2:M$500,1))))))</f>
        <v>4.6363636363636367</v>
      </c>
      <c r="G70" s="28"/>
      <c r="H70" s="4"/>
      <c r="I70" s="4"/>
      <c r="J70" s="4"/>
      <c r="K70" s="4"/>
      <c r="L70" s="4"/>
      <c r="M70" s="4"/>
      <c r="N70" s="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x14ac:dyDescent="0.25">
      <c r="A71" s="171" t="s">
        <v>96</v>
      </c>
      <c r="B71" s="136"/>
      <c r="C71" s="136"/>
      <c r="D71" s="136"/>
      <c r="E71" s="137"/>
      <c r="F71" s="61">
        <f>((COUNTIFS(Data!E$2:E$500,"Ні",Data!M$2:M$500,5)*5)+(COUNTIFS(Data!E$2:E$500,"Ні",Data!M$2:M$500,4)*4)+(COUNTIFS(Data!E$2:E$500,"Ні",Data!M$2:M$500,3)*3)+(COUNTIFS(Data!E$2:E$500,"Ні",Data!M$2:M$500,2)*2)+(COUNTIFS(Data!E$2:E$500,"Ні",Data!M$2:M$500,1)*1))/(COUNTIFS(Data!E$2:E$500,"Ні",Data!M$2:M$500,5)+(COUNTIFS(Data!E$2:E$500,"Ні",Data!M$2:M$500,4)+(COUNTIFS(Data!E$2:E$500,"Ні",Data!M$2:M$500,3)+(COUNTIFS(Data!E$2:E$500,"Ні",Data!M$2:M$500,2)+(COUNTIFS(Data!E$2:E$500,"Ні",Data!M$2:M$500,1))))))</f>
        <v>4.3809523809523814</v>
      </c>
      <c r="G71" s="28"/>
      <c r="H71" s="4"/>
      <c r="I71" s="4"/>
      <c r="J71" s="4"/>
      <c r="K71" s="4"/>
      <c r="L71" s="4"/>
      <c r="M71" s="4"/>
      <c r="N71" s="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x14ac:dyDescent="0.25">
      <c r="A72" s="170" t="s">
        <v>98</v>
      </c>
      <c r="B72" s="136"/>
      <c r="C72" s="136"/>
      <c r="D72" s="136"/>
      <c r="E72" s="137"/>
      <c r="F72" s="62">
        <f>((COUNTIFS(Data!F$2:F$500,"В населеному пункті, де розташований цей суд",Data!M$2:M$500,5)*5)+(COUNTIFS(Data!F$2:F$500,"В населеному пункті, де розташований цей суд",Data!M$2:M$500,4)*4)+(COUNTIFS(Data!F$2:F$500,"В населеному пункті, де розташований цей суд",Data!M$2:M$500,3)*3)+(COUNTIFS(Data!F$2:F$500,"В населеному пункті, де розташований цей суд",Data!M$2:M$500,2)*2)+(COUNTIFS(Data!F$2:F$500,"В населеному пункті, де розташований цей суд",Data!M$2:M$500,1)*1))/(COUNTIFS(Data!F$2:F$500,"В населеному пункті, де розташований цей суд",Data!M$2:M$500,5)+(COUNTIFS(Data!F$2:F$500,"В населеному пункті, де розташований цей суд",Data!M$2:M$500,4)+(COUNTIFS(Data!F$2:F$500,"В населеному пункті, де розташований цей суд",Data!M$2:M$500,3)+(COUNTIFS(Data!F$2:F$500,"В населеному пункті, де розташований цей суд",Data!M$2:M$500,2)+(COUNTIFS(Data!F$2:F$500,"В населеному пункті, де розташований цей суд",Data!M$2:M$500,1))))))</f>
        <v>4.5925925925925926</v>
      </c>
      <c r="G72" s="28"/>
      <c r="H72" s="4"/>
      <c r="I72" s="4"/>
      <c r="J72" s="4"/>
      <c r="K72" s="4"/>
      <c r="L72" s="4"/>
      <c r="M72" s="4"/>
      <c r="N72" s="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x14ac:dyDescent="0.25">
      <c r="A73" s="170" t="s">
        <v>101</v>
      </c>
      <c r="B73" s="136"/>
      <c r="C73" s="136"/>
      <c r="D73" s="136"/>
      <c r="E73" s="137"/>
      <c r="F73" s="62">
        <f>((COUNTIFS(Data!F$2:F$500,"В іншому населеному пункті",Data!M$2:M$500,5)*5)+(COUNTIFS(Data!F$2:F$500,"В іншому населеному пункті",Data!M$2:M$500,4)*4)+(COUNTIFS(Data!F$2:F$500,"В іншому населеному пункті",Data!M$2:M$500,3)*3)+(COUNTIFS(Data!F$2:F$500,"В іншому населеному пункті",Data!M$2:M$500,2)*2)+(COUNTIFS(Data!F$2:F$500,"В іншому населеному пункті",Data!M$2:M$500,1)*1))/(COUNTIFS(Data!F$2:F$500,"В іншому населеному пункті",Data!M$2:M$500,5)+(COUNTIFS(Data!F$2:F$500,"В іншому населеному пункті",Data!M$2:M$500,4)+(COUNTIFS(Data!F$2:F$500,"В іншому населеному пункті",Data!M$2:M$500,3)+(COUNTIFS(Data!F$2:F$500,"В іншому населеному пункті",Data!M$2:M$500,2)+(COUNTIFS(Data!F$2:F$500,"В іншому населеному пункті",Data!M$2:M$500,1))))))</f>
        <v>4.375</v>
      </c>
      <c r="G73" s="28"/>
      <c r="H73" s="4"/>
      <c r="I73" s="4"/>
      <c r="J73" s="4"/>
      <c r="K73" s="4"/>
      <c r="L73" s="4"/>
      <c r="M73" s="4"/>
      <c r="N73" s="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x14ac:dyDescent="0.25">
      <c r="A74" s="163" t="s">
        <v>104</v>
      </c>
      <c r="B74" s="136"/>
      <c r="C74" s="136"/>
      <c r="D74" s="136"/>
      <c r="E74" s="137"/>
      <c r="F74" s="63" t="e">
        <f>((COUNTIFS(Data!G$2:G$500,"Змушені економити на харчуванні",Data!M$2:M$500,5)*5)+(COUNTIFS(Data!G$2:G$500,"Змушені економити на харчуванні",Data!M$2:M$500,4)*4)+(COUNTIFS(Data!G$2:G$500,"Змушені економити на харчуванні",Data!M$2:M$500,3)*3)+(COUNTIFS(Data!G$2:G$500,"Змушені економити на харчуванні",Data!M$2:M$500,2)*2)+(COUNTIFS(Data!G$2:G$500,"Змушені економити на харчуванні",Data!M$2:M$500,1)*1))/(COUNTIFS(Data!G$2:G$500,"Змушені економити на харчуванні",Data!M$2:M$500,5)+(COUNTIFS(Data!G$2:G$500,"Змушені економити на харчуванні",Data!M$2:M$500,4)+(COUNTIFS(Data!G$2:G$500,"Змушені економити на харчуванні",Data!M$2:M$500,3)+(COUNTIFS(Data!G$2:G$500,"Змушені економити на харчуванні",Data!M$2:M$500,2)+(COUNTIFS(Data!G$2:G$500,"Змушені економити на харчуванні",Data!M$2:M$500,1))))))</f>
        <v>#DIV/0!</v>
      </c>
      <c r="G74" s="28"/>
      <c r="H74" s="4"/>
      <c r="I74" s="4"/>
      <c r="J74" s="4"/>
      <c r="K74" s="4"/>
      <c r="L74" s="4"/>
      <c r="M74" s="4"/>
      <c r="N74" s="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x14ac:dyDescent="0.25">
      <c r="A75" s="163" t="s">
        <v>107</v>
      </c>
      <c r="B75" s="136"/>
      <c r="C75" s="136"/>
      <c r="D75" s="136"/>
      <c r="E75" s="137"/>
      <c r="F75" s="63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позичити",Data!M$2:M$500,1))))))</f>
        <v>4.166666666666667</v>
      </c>
      <c r="G75" s="28"/>
      <c r="H75" s="4"/>
      <c r="I75" s="4"/>
      <c r="J75" s="4"/>
      <c r="K75" s="4"/>
      <c r="L75" s="4"/>
      <c r="M75" s="4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x14ac:dyDescent="0.25">
      <c r="A76" s="163" t="s">
        <v>109</v>
      </c>
      <c r="B76" s="136"/>
      <c r="C76" s="136"/>
      <c r="D76" s="136"/>
      <c r="E76" s="137"/>
      <c r="F76" s="63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позичити",Data!M$2:M$500,1))))))</f>
        <v>4.625</v>
      </c>
      <c r="G76" s="28"/>
      <c r="H76" s="4"/>
      <c r="I76" s="4"/>
      <c r="J76" s="4"/>
      <c r="K76" s="4"/>
      <c r="L76" s="4"/>
      <c r="M76" s="4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x14ac:dyDescent="0.25">
      <c r="A77" s="163" t="s">
        <v>117</v>
      </c>
      <c r="B77" s="136"/>
      <c r="C77" s="136"/>
      <c r="D77" s="136"/>
      <c r="E77" s="137"/>
      <c r="F77" s="63">
        <f>((COUNTIFS(Data!G$2:G$500,"Вистачає на харчування, одяг, взуття, дорогі покупки. Для таких покупок як машина, квартира необхідно заощадити або позичити",Data!M$2:M$500,5)*5)+(COUNTIFS(Data!G$2:G$500,"Вистачає на харчування, одяг, взуття, дорогі покупки. Для таких покупок як машина, квартира необхідно заощадити або позичити",Data!M$2:M$500,4)*4)+(COUNTIFS(Data!G$2:G$500,"Вистачає на харчування, одяг, взуття, дорогі покупки. Для таких покупок як машина, квартира необхідно заощадити або позичити",Data!M$2:M$500,3)*3)+(COUNTIFS(Data!G$2:G$500,"Вистачає на харчування, одяг, взуття, дорогі покупки. Для таких покупок як машина, квартира необхідно заощадити або позичити",Data!M$2:M$500,2)*2)+(COUNTIFS(Data!G$2:G$500,"Вистачає на харчування, одяг, взуття, дорогі покупки. Для таких покупок як машина, квартира необхідно заощадити або позичити",Data!M$2:M$500,1)*1))/(COUNTIFS(Data!G$2:G$500,"Вистачає на харчування, одяг, взуття, дорогі покупки. Для таких покупок як машина, квартира необхідно заощадити або позичити",Data!M$2:M$500,5)+(COUNTIFS(Data!G$2:G$500,"Вистачає на харчування, одяг, взуття, дорогі покупки. Для таких покупок як машина, квартира необхідно заощадити або позичити",Data!M$2:M$500,4)+(COUNTIFS(Data!G$2:G$500,"Вистачає на харчування, одяг, взуття, дорогі покупки. Для таких покупок як машина, квартира необхідно заощадити або позичити",Data!M$2:M$500,3)+(COUNTIFS(Data!G$2:G$500,"Вистачає на харчування, одяг, взуття, дорогі покупки. Для таких покупок як машина, квартира необхідно заощадити або позичити",Data!M$2:M$500,2)+(COUNTIFS(Data!G$2:G$500,"Вистачає на харчування, одяг, взуття, дорогі покупки. Для таких покупок як машина, квартира необхідно заощадити або позичити",Data!M$2:M$500,1))))))</f>
        <v>4.615384615384615</v>
      </c>
      <c r="G77" s="28"/>
      <c r="H77" s="4"/>
      <c r="I77" s="4"/>
      <c r="J77" s="4"/>
      <c r="K77" s="4"/>
      <c r="L77" s="4"/>
      <c r="M77" s="4"/>
      <c r="N77" s="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x14ac:dyDescent="0.25">
      <c r="A78" s="163" t="s">
        <v>122</v>
      </c>
      <c r="B78" s="136"/>
      <c r="C78" s="136"/>
      <c r="D78" s="136"/>
      <c r="E78" s="137"/>
      <c r="F78" s="63" t="e">
        <f>((COUNTIFS(Data!G$2:G$500,"Будь-які необхідні покупки можу зробити в будь-який час",Data!M$2:M$500,5)*5)+(COUNTIFS(Data!G$2:G$500,"Будь-які необхідні покупки можу зробити в будь-який час",Data!M$2:M$500,4)*4)+(COUNTIFS(Data!G$2:G$500,"Будь-які необхідні покупки можу зробити в будь-який час",Data!M$2:M$500,3)*3)+(COUNTIFS(Data!G$2:G$500,"Будь-які необхідні покупки можу зробити в будь-який час",Data!M$2:M$500,2)*2)+(COUNTIFS(Data!G$2:G$500,"Будь-які необхідні покупки можу зробити в будь-який час",Data!M$2:M$500,1)*1))/(COUNTIFS(Data!G$2:G$500,"Будь-які необхідні покупки можу зробити в будь-який час",Data!M$2:M$500,5)+(COUNTIFS(Data!G$2:G$500,"Будь-які необхідні покупки можу зробити в будь-який час",Data!M$2:M$500,4)+(COUNTIFS(Data!G$2:G$500,"Будь-які необхідні покупки можу зробити в будь-який час",Data!M$2:M$500,3)+(COUNTIFS(Data!G$2:G$500,"Будь-які необхідні покупки можу зробити в будь-який час",Data!M$2:M$500,2)+(COUNTIFS(Data!G$2:G$500,"Будь-які необхідні покупки можу зробити в будь-який час",Data!M$2:M$500,1))))))</f>
        <v>#DIV/0!</v>
      </c>
      <c r="G78" s="28"/>
      <c r="H78" s="4"/>
      <c r="I78" s="4"/>
      <c r="J78" s="4"/>
      <c r="K78" s="4"/>
      <c r="L78" s="4"/>
      <c r="M78" s="4"/>
      <c r="N78" s="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x14ac:dyDescent="0.25">
      <c r="A79" s="163" t="s">
        <v>125</v>
      </c>
      <c r="B79" s="136"/>
      <c r="C79" s="136"/>
      <c r="D79" s="136"/>
      <c r="E79" s="137"/>
      <c r="F79" s="63">
        <f>((COUNTIFS(Data!G$2:G$500,"КН (код невідповіді)",Data!M$2:M$500,5)*5)+(COUNTIFS(Data!G$2:G$500,"КН (код невідповіді)",Data!M$2:M$500,4)*4)+(COUNTIFS(Data!G$2:G$500,"КН (код невідповіді)",Data!M$2:M$500,3)*3)+(COUNTIFS(Data!G$2:G$500,"КН (код невідповіді)",Data!M$2:M$500,2)*2)+(COUNTIFS(Data!G$2:G$500,"КН (код невідповіді)",Data!M$2:M$500,1)*1))/(COUNTIFS(Data!G$2:G$500,"КН (код невідповіді)",Data!M$2:M$500,5)+(COUNTIFS(Data!G$2:G$500,"КН (код невідповіді)",Data!M$2:M$500,4)+(COUNTIFS(Data!G$2:G$500,"КН (код невідповіді)",Data!M$2:M$500,3)+(COUNTIFS(Data!G$2:G$500,"КН (код невідповіді)",Data!M$2:M$500,2)+(COUNTIFS(Data!G$2:G$500,"КН (код невідповіді)",Data!M$2:M$500,1))))))</f>
        <v>5</v>
      </c>
      <c r="G79" s="28"/>
      <c r="H79" s="4"/>
      <c r="I79" s="4"/>
      <c r="J79" s="4"/>
      <c r="K79" s="4"/>
      <c r="L79" s="4"/>
      <c r="M79" s="4"/>
      <c r="N79" s="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x14ac:dyDescent="0.25">
      <c r="A80" s="174" t="s">
        <v>128</v>
      </c>
      <c r="B80" s="136"/>
      <c r="C80" s="136"/>
      <c r="D80" s="136"/>
      <c r="E80" s="137"/>
      <c r="F80" s="83">
        <f>((COUNTIFS(Data!H$2:H$500,"Є учасником судових проваджень і представляєте особисто себе",Data!M$2:M$500,5)*5)+(COUNTIFS(Data!H$2:H$500,"Є учасником судових проваджень і представляєте особисто себе",Data!M$2:M$500,4)*4)+(COUNTIFS(Data!H$2:H$500,"Є учасником судових проваджень і представляєте особисто себе",Data!M$2:M$500,3)*3)+(COUNTIFS(Data!H$2:H$500,"Є учасником судових проваджень і представляєте особисто себе",Data!M$2:M$500,2)*2)+(COUNTIFS(Data!H$2:H$500,"Є учасником судових проваджень і представляєте особисто себе",Data!M$2:M$500,1)*1))/(COUNTIFS(Data!H$2:H$500,"Є учасником судових проваджень і представляєте особисто себе",Data!M$2:M$500,5)+(COUNTIFS(Data!H$2:H$500,"Є учасником судових проваджень і представляєте особисто себе",Data!M$2:M$500,4)+(COUNTIFS(Data!H$2:H$500,"Є учасником судових проваджень і представляєте особисто себе",Data!M$2:M$500,3)+(COUNTIFS(Data!H$2:H$500,"Є учасником судових проваджень і представляєте особисто себе",Data!M$2:M$500,2)+(COUNTIFS(Data!H$2:H$500,"Є учасником судових проваджень і представляєте особисто себе",Data!M$2:M$500,1))))))</f>
        <v>4.375</v>
      </c>
      <c r="G80" s="28"/>
      <c r="H80" s="4"/>
      <c r="I80" s="4"/>
      <c r="J80" s="4"/>
      <c r="K80" s="4"/>
      <c r="L80" s="4"/>
      <c r="M80" s="4"/>
      <c r="N80" s="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x14ac:dyDescent="0.25">
      <c r="A81" s="174" t="s">
        <v>132</v>
      </c>
      <c r="B81" s="136"/>
      <c r="C81" s="136"/>
      <c r="D81" s="136"/>
      <c r="E81" s="137"/>
      <c r="F81" s="83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юрист-консультантом)",Data!M$2:M$500,1))))))</f>
        <v>5</v>
      </c>
      <c r="G81" s="28"/>
      <c r="H81" s="4"/>
      <c r="I81" s="4"/>
      <c r="J81" s="4"/>
      <c r="K81" s="4"/>
      <c r="L81" s="4"/>
      <c r="M81" s="4"/>
      <c r="N81" s="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x14ac:dyDescent="0.25">
      <c r="A82" s="174" t="s">
        <v>136</v>
      </c>
      <c r="B82" s="136"/>
      <c r="C82" s="136"/>
      <c r="D82" s="136"/>
      <c r="E82" s="137"/>
      <c r="F82" s="83">
        <f>((COUNTIFS(Data!H$2:H$500,"Не є учасником судових проваджень",Data!M$2:M$500,5)*5)+(COUNTIFS(Data!H$2:H$500,"Не є учасником судових проваджень",Data!M$2:M$500,4)*4)+(COUNTIFS(Data!H$2:H$500,"Не є учасником судових проваджень",Data!M$2:M$500,3)*3)+(COUNTIFS(Data!H$2:H$500,"Не є учасником судових проваджень",Data!M$2:M$500,2)*2)+(COUNTIFS(Data!H$2:H$500,"Не є учасником судових проваджень",Data!M$2:M$500,1)*1))/(COUNTIFS(Data!H$2:H$500,"Не є учасником судових проваджень",Data!M$2:M$500,5)+(COUNTIFS(Data!H$2:H$500,"Не є учасником судових проваджень",Data!M$2:M$500,4)+(COUNTIFS(Data!H$2:H$500,"Не є учасником судових проваджень",Data!M$2:M$500,3)+(COUNTIFS(Data!H$2:H$500,"Не є учасником судових проваджень",Data!M$2:M$500,2)+(COUNTIFS(Data!H$2:H$500,"Не є учасником судових проваджень",Data!M$2:M$500,1))))))</f>
        <v>4.4210526315789478</v>
      </c>
      <c r="G82" s="28"/>
      <c r="H82" s="4"/>
      <c r="I82" s="4"/>
      <c r="J82" s="4"/>
      <c r="K82" s="4"/>
      <c r="L82" s="4"/>
      <c r="M82" s="4"/>
      <c r="N82" s="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x14ac:dyDescent="0.25">
      <c r="A83" s="174" t="s">
        <v>99</v>
      </c>
      <c r="B83" s="136"/>
      <c r="C83" s="136"/>
      <c r="D83" s="136"/>
      <c r="E83" s="137"/>
      <c r="F83" s="83" t="e">
        <f>((COUNTIFS(Data!H$2:H$500,"Інше",Data!M$2:M$500,5)*5)+(COUNTIFS(Data!H$2:H$500,"Інше",Data!M$2:M$500,4)*4)+(COUNTIFS(Data!H$2:H$500,"Інше",Data!M$2:M$500,3)*3)+(COUNTIFS(Data!H$2:H$500,"Інше",Data!M$2:M$500,2)*2)+(COUNTIFS(Data!H$2:H$500,"Інше",Data!M$2:M$500,1)*1))/(COUNTIFS(Data!H$2:H$500,"Інше",Data!M$2:M$500,5)+(COUNTIFS(Data!H$2:H$500,"Інше",Data!M$2:M$500,4)+(COUNTIFS(Data!H$2:H$500,"Інше",Data!M$2:M$500,3)+(COUNTIFS(Data!H$2:H$500,"Інше",Data!M$2:M$500,2)+(COUNTIFS(Data!H$2:H$500,"Інше",Data!M$2:M$500,1))))))</f>
        <v>#DIV/0!</v>
      </c>
      <c r="G83" s="28"/>
      <c r="H83" s="4"/>
      <c r="I83" s="4"/>
      <c r="J83" s="4"/>
      <c r="K83" s="4"/>
      <c r="L83" s="4"/>
      <c r="M83" s="4"/>
      <c r="N83" s="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x14ac:dyDescent="0.25">
      <c r="A84" s="162" t="s">
        <v>140</v>
      </c>
      <c r="B84" s="136"/>
      <c r="C84" s="136"/>
      <c r="D84" s="136"/>
      <c r="E84" s="137"/>
      <c r="F84" s="59">
        <f>((COUNTIFS(Data!I$2:I$500,"Цивільний процес",Data!M$2:M$500,5)*5)+(COUNTIFS(Data!I$2:I$500,"Цивільний процес",Data!M$2:M$500,4)*4)+(COUNTIFS(Data!I$2:I$500,"Цивільний процес",Data!M$2:M$500,3)*3)+(COUNTIFS(Data!I$2:I$500,"Цивільний процес",Data!M$2:M$500,2)*2)+(COUNTIFS(Data!I$2:I$500,"Цивільний процес",Data!M$2:M$500,1)*1))/(COUNTIFS(Data!I$2:I$500,"Цивільний процес",Data!M$2:M$500,5)+(COUNTIFS(Data!I$2:I$500,"Цивільний процес",Data!M$2:M$500,4)+(COUNTIFS(Data!I$2:I$500,"Цивільний процес",Data!M$2:M$500,3)+(COUNTIFS(Data!I$2:I$500,"Цивільний процес",Data!M$2:M$500,2)+(COUNTIFS(Data!I$2:I$500,"Цивільний процес",Data!M$2:M$500,1))))))</f>
        <v>4.5999999999999996</v>
      </c>
      <c r="G84" s="28"/>
      <c r="H84" s="4"/>
      <c r="I84" s="4"/>
      <c r="J84" s="4"/>
      <c r="K84" s="4"/>
      <c r="L84" s="4"/>
      <c r="M84" s="4"/>
      <c r="N84" s="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x14ac:dyDescent="0.25">
      <c r="A85" s="162" t="s">
        <v>144</v>
      </c>
      <c r="B85" s="136"/>
      <c r="C85" s="136"/>
      <c r="D85" s="136"/>
      <c r="E85" s="137"/>
      <c r="F85" s="59" t="e">
        <f>((COUNTIFS(Data!I$2:I$500,"Кримінальний процес",Data!M$2:M$500,5)*5)+(COUNTIFS(Data!I$2:I$500,"Кримінальний процес",Data!M$2:M$500,4)*4)+(COUNTIFS(Data!I$2:I$500,"Кримінальний процес",Data!M$2:M$500,3)*3)+(COUNTIFS(Data!I$2:I$500,"Кримінальний процес",Data!M$2:M$500,2)*2)+(COUNTIFS(Data!I$2:I$500,"Кримінальний процес",Data!M$2:M$500,1)*1))/(COUNTIFS(Data!I$2:I$500,"Кримінальний процес",Data!M$2:M$500,5)+(COUNTIFS(Data!I$2:I$500,"Кримінальний процес",Data!M$2:M$500,4)+(COUNTIFS(Data!I$2:I$500,"Кримінальний процес",Data!M$2:M$500,3)+(COUNTIFS(Data!I$2:I$500,"Кримінальний процес",Data!M$2:M$500,2)+(COUNTIFS(Data!I$2:I$500,"Кримінальний процес",Data!M$2:M$500,1))))))</f>
        <v>#DIV/0!</v>
      </c>
      <c r="G85" s="28"/>
      <c r="H85" s="4"/>
      <c r="I85" s="4"/>
      <c r="J85" s="4"/>
      <c r="K85" s="4"/>
      <c r="L85" s="4"/>
      <c r="M85" s="4"/>
      <c r="N85" s="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x14ac:dyDescent="0.25">
      <c r="A86" s="162" t="s">
        <v>147</v>
      </c>
      <c r="B86" s="136"/>
      <c r="C86" s="136"/>
      <c r="D86" s="136"/>
      <c r="E86" s="137"/>
      <c r="F86" s="59">
        <f>((COUNTIFS(Data!I$2:I$500,"Адміністративний процес",Data!M$2:M$500,5)*5)+(COUNTIFS(Data!I$2:I$500,"Адміністративний процес",Data!M$2:M$500,4)*4)+(COUNTIFS(Data!I$2:I$500,"Адміністративний процес",Data!M$2:M$500,3)*3)+(COUNTIFS(Data!I$2:I$500,"Адміністративний процес",Data!M$2:M$500,2)*2)+(COUNTIFS(Data!I$2:I$500,"Адміністративний процес",Data!M$2:M$500,1)*1))/(COUNTIFS(Data!I$2:I$500,"Адміністративний процес",Data!M$2:M$500,5)+(COUNTIFS(Data!I$2:I$500,"Адміністративний процес",Data!M$2:M$500,4)+(COUNTIFS(Data!I$2:I$500,"Адміністративний процес",Data!M$2:M$500,3)+(COUNTIFS(Data!I$2:I$500,"Адміністративний процес",Data!M$2:M$500,2)+(COUNTIFS(Data!I$2:I$500,"Адміністративний процес",Data!M$2:M$500,1))))))</f>
        <v>4.333333333333333</v>
      </c>
      <c r="G86" s="28"/>
      <c r="H86" s="4"/>
      <c r="I86" s="4"/>
      <c r="J86" s="4"/>
      <c r="K86" s="4"/>
      <c r="L86" s="4"/>
      <c r="M86" s="4"/>
      <c r="N86" s="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x14ac:dyDescent="0.25">
      <c r="A87" s="162" t="s">
        <v>151</v>
      </c>
      <c r="B87" s="136"/>
      <c r="C87" s="136"/>
      <c r="D87" s="136"/>
      <c r="E87" s="137"/>
      <c r="F87" s="59" t="e">
        <f>((COUNTIFS(Data!I$2:I$500,"Господарський процес",Data!M$2:M$500,5)*5)+(COUNTIFS(Data!I$2:I$500,"Господарський процес",Data!M$2:M$500,4)*4)+(COUNTIFS(Data!I$2:I$500,"Господарський процес",Data!M$2:M$500,3)*3)+(COUNTIFS(Data!I$2:I$500,"Господарський процес",Data!M$2:M$500,2)*2)+(COUNTIFS(Data!I$2:I$500,"Господарський процес",Data!M$2:M$500,1)*1))/(COUNTIFS(Data!I$2:I$500,"Господарський процес",Data!M$2:M$500,5)+(COUNTIFS(Data!I$2:I$500,"Господарський процес",Data!M$2:M$500,4)+(COUNTIFS(Data!I$2:I$500,"Господарський процес",Data!M$2:M$500,3)+(COUNTIFS(Data!I$2:I$500,"Господарський процес",Data!M$2:M$500,2)+(COUNTIFS(Data!I$2:I$500,"Господарський процес",Data!M$2:M$500,1))))))</f>
        <v>#DIV/0!</v>
      </c>
      <c r="G87" s="28"/>
      <c r="H87" s="4"/>
      <c r="I87" s="4"/>
      <c r="J87" s="4"/>
      <c r="K87" s="4"/>
      <c r="L87" s="4"/>
      <c r="M87" s="4"/>
      <c r="N87" s="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x14ac:dyDescent="0.25">
      <c r="A88" s="162" t="s">
        <v>153</v>
      </c>
      <c r="B88" s="136"/>
      <c r="C88" s="136"/>
      <c r="D88" s="136"/>
      <c r="E88" s="137"/>
      <c r="F88" s="59">
        <f>((COUNTIFS(Data!I$2:I$500,"Справа про адміністративні  правопорушення",Data!M$2:M$500,5)*5)+(COUNTIFS(Data!I$2:I$500,"Справа про адміністративні  правопорушення",Data!M$2:M$500,4)*4)+(COUNTIFS(Data!I$2:I$500,"Справа про адміністративні  правопорушення",Data!M$2:M$500,3)*3)+(COUNTIFS(Data!I$2:I$500,"Справа про адміністративні  правопорушення",Data!M$2:M$500,2)*2)+(COUNTIFS(Data!I$2:I$500,"Справа про адміністративні  правопорушення",Data!M$2:M$500,1)*1))/(COUNTIFS(Data!I$2:I$500,"Справа про адміністративні  правопорушення",Data!M$2:M$500,5)+(COUNTIFS(Data!I$2:I$500,"Справа про адміністративні  правопорушення",Data!M$2:M$500,4)+(COUNTIFS(Data!I$2:I$500,"Справа про адміністративні  правопорушення",Data!M$2:M$500,3)+(COUNTIFS(Data!I$2:I$500,"Справа про адміністративні  правопорушення",Data!M$2:M$500,2)+(COUNTIFS(Data!I$2:I$500,"Справа про адміністративні  правопорушення",Data!M$2:M$500,1))))))</f>
        <v>5</v>
      </c>
      <c r="G88" s="28"/>
      <c r="H88" s="4"/>
      <c r="I88" s="4"/>
      <c r="J88" s="4"/>
      <c r="K88" s="4"/>
      <c r="L88" s="4"/>
      <c r="M88" s="4"/>
      <c r="N88" s="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5"/>
      <c r="B89" s="65"/>
      <c r="C89" s="65"/>
      <c r="D89" s="65"/>
      <c r="E89" s="65"/>
      <c r="F89" s="5"/>
      <c r="G89" s="28"/>
      <c r="H89" s="4"/>
      <c r="I89" s="4"/>
      <c r="J89" s="4"/>
      <c r="K89" s="4"/>
      <c r="L89" s="4"/>
      <c r="M89" s="4"/>
      <c r="N89" s="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65"/>
      <c r="B90" s="65"/>
      <c r="C90" s="65"/>
      <c r="D90" s="65"/>
      <c r="E90" s="65"/>
      <c r="F90" s="5"/>
      <c r="G90" s="28"/>
      <c r="H90" s="4"/>
      <c r="I90" s="4"/>
      <c r="J90" s="4"/>
      <c r="K90" s="4"/>
      <c r="L90" s="4"/>
      <c r="M90" s="4"/>
      <c r="N90" s="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65"/>
      <c r="B91" s="65"/>
      <c r="C91" s="65"/>
      <c r="D91" s="65"/>
      <c r="E91" s="65"/>
      <c r="F91" s="5"/>
      <c r="G91" s="28"/>
      <c r="H91" s="4"/>
      <c r="I91" s="4"/>
      <c r="J91" s="4"/>
      <c r="K91" s="4"/>
      <c r="L91" s="4"/>
      <c r="M91" s="4"/>
      <c r="N91" s="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65"/>
      <c r="B92" s="65"/>
      <c r="C92" s="65"/>
      <c r="D92" s="65"/>
      <c r="E92" s="65"/>
      <c r="F92" s="5"/>
      <c r="G92" s="28"/>
      <c r="H92" s="4"/>
      <c r="I92" s="4"/>
      <c r="J92" s="4"/>
      <c r="K92" s="4"/>
      <c r="L92" s="4"/>
      <c r="M92" s="4"/>
      <c r="N92" s="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65"/>
      <c r="B93" s="65"/>
      <c r="C93" s="65"/>
      <c r="D93" s="65"/>
      <c r="E93" s="65"/>
      <c r="F93" s="5"/>
      <c r="G93" s="28"/>
      <c r="H93" s="4"/>
      <c r="I93" s="4"/>
      <c r="J93" s="4"/>
      <c r="K93" s="4"/>
      <c r="L93" s="4"/>
      <c r="M93" s="4"/>
      <c r="N93" s="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65"/>
      <c r="B94" s="65"/>
      <c r="C94" s="65"/>
      <c r="D94" s="65"/>
      <c r="E94" s="65"/>
      <c r="F94" s="5"/>
      <c r="G94" s="28"/>
      <c r="H94" s="4"/>
      <c r="I94" s="4"/>
      <c r="J94" s="4"/>
      <c r="K94" s="4"/>
      <c r="L94" s="4"/>
      <c r="M94" s="4"/>
      <c r="N94" s="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65"/>
      <c r="B95" s="65"/>
      <c r="C95" s="65"/>
      <c r="D95" s="65"/>
      <c r="E95" s="65"/>
      <c r="F95" s="5"/>
      <c r="G95" s="28"/>
      <c r="H95" s="4"/>
      <c r="I95" s="4"/>
      <c r="J95" s="4"/>
      <c r="K95" s="4"/>
      <c r="L95" s="4"/>
      <c r="M95" s="4"/>
      <c r="N95" s="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</sheetData>
  <mergeCells count="54">
    <mergeCell ref="A66:E66"/>
    <mergeCell ref="A60:E60"/>
    <mergeCell ref="A25:E25"/>
    <mergeCell ref="A49:E49"/>
    <mergeCell ref="A48:E48"/>
    <mergeCell ref="A41:E41"/>
    <mergeCell ref="A59:E59"/>
    <mergeCell ref="A56:E56"/>
    <mergeCell ref="A58:E58"/>
    <mergeCell ref="A57:E57"/>
    <mergeCell ref="A22:E22"/>
    <mergeCell ref="A23:E23"/>
    <mergeCell ref="A24:E24"/>
    <mergeCell ref="A32:E32"/>
    <mergeCell ref="A31:E31"/>
    <mergeCell ref="A26:E26"/>
    <mergeCell ref="A28:E28"/>
    <mergeCell ref="A55:E55"/>
    <mergeCell ref="A54:E54"/>
    <mergeCell ref="A50:E50"/>
    <mergeCell ref="A51:E51"/>
    <mergeCell ref="A53:E53"/>
    <mergeCell ref="A63:E63"/>
    <mergeCell ref="A70:E70"/>
    <mergeCell ref="A86:E86"/>
    <mergeCell ref="A87:E87"/>
    <mergeCell ref="A88:E88"/>
    <mergeCell ref="A80:E80"/>
    <mergeCell ref="A79:E79"/>
    <mergeCell ref="A85:E85"/>
    <mergeCell ref="A81:E81"/>
    <mergeCell ref="A82:E82"/>
    <mergeCell ref="A83:E83"/>
    <mergeCell ref="A72:E72"/>
    <mergeCell ref="A71:E71"/>
    <mergeCell ref="A68:E68"/>
    <mergeCell ref="A67:E67"/>
    <mergeCell ref="A65:E65"/>
    <mergeCell ref="A69:E69"/>
    <mergeCell ref="A84:E84"/>
    <mergeCell ref="A78:E78"/>
    <mergeCell ref="A3:G3"/>
    <mergeCell ref="A21:E21"/>
    <mergeCell ref="A20:E20"/>
    <mergeCell ref="A29:E29"/>
    <mergeCell ref="A30:E30"/>
    <mergeCell ref="A61:E61"/>
    <mergeCell ref="A64:E64"/>
    <mergeCell ref="A73:E73"/>
    <mergeCell ref="A76:E76"/>
    <mergeCell ref="A77:E77"/>
    <mergeCell ref="A75:E75"/>
    <mergeCell ref="A74:E74"/>
    <mergeCell ref="A62:E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H61"/>
  <sheetViews>
    <sheetView workbookViewId="0"/>
  </sheetViews>
  <sheetFormatPr defaultColWidth="14.42578125" defaultRowHeight="15.75" customHeight="1" x14ac:dyDescent="0.2"/>
  <sheetData>
    <row r="61" spans="8:8" ht="15.75" customHeight="1" x14ac:dyDescent="0.2">
      <c r="H61" s="10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8"/>
  <sheetViews>
    <sheetView workbookViewId="0"/>
  </sheetViews>
  <sheetFormatPr defaultColWidth="14.42578125" defaultRowHeight="15.75" customHeight="1" x14ac:dyDescent="0.2"/>
  <cols>
    <col min="1" max="1" width="75.42578125" customWidth="1"/>
    <col min="2" max="2" width="10.85546875" customWidth="1"/>
    <col min="3" max="3" width="11.140625" customWidth="1"/>
    <col min="4" max="4" width="11.7109375" customWidth="1"/>
    <col min="5" max="5" width="10.5703125" customWidth="1"/>
    <col min="6" max="6" width="11.140625" customWidth="1"/>
    <col min="7" max="7" width="11.28515625" customWidth="1"/>
  </cols>
  <sheetData>
    <row r="1" spans="1:8" ht="18" x14ac:dyDescent="0.25">
      <c r="A1" s="102" t="s">
        <v>201</v>
      </c>
    </row>
    <row r="2" spans="1:8" ht="15.75" customHeight="1" x14ac:dyDescent="0.2">
      <c r="A2" s="103"/>
      <c r="B2" s="104"/>
      <c r="C2" s="104"/>
      <c r="D2" s="104"/>
      <c r="E2" s="104"/>
      <c r="F2" s="104"/>
      <c r="G2" s="104"/>
      <c r="H2" s="105"/>
    </row>
    <row r="3" spans="1:8" ht="15.75" customHeight="1" x14ac:dyDescent="0.35">
      <c r="A3" s="176" t="s">
        <v>202</v>
      </c>
      <c r="B3" s="134"/>
      <c r="C3" s="134"/>
      <c r="D3" s="134"/>
      <c r="E3" s="134"/>
      <c r="F3" s="134"/>
      <c r="G3" s="134"/>
      <c r="H3" s="106">
        <f>(H17+H30+H45+H57+H67+H79)/6</f>
        <v>4.652929847909328</v>
      </c>
    </row>
    <row r="4" spans="1:8" ht="15.75" customHeight="1" x14ac:dyDescent="0.2">
      <c r="A4" s="103"/>
      <c r="B4" s="104"/>
      <c r="C4" s="104"/>
      <c r="D4" s="104"/>
      <c r="E4" s="104"/>
      <c r="F4" s="104"/>
      <c r="G4" s="104"/>
      <c r="H4" s="105"/>
    </row>
    <row r="5" spans="1:8" ht="15.75" customHeight="1" x14ac:dyDescent="0.2">
      <c r="A5" s="103"/>
      <c r="B5" s="104"/>
      <c r="C5" s="104"/>
      <c r="D5" s="104"/>
      <c r="E5" s="104"/>
      <c r="F5" s="104"/>
      <c r="G5" s="104"/>
      <c r="H5" s="105"/>
    </row>
    <row r="6" spans="1:8" ht="18" x14ac:dyDescent="0.25">
      <c r="A6" s="102" t="s">
        <v>203</v>
      </c>
      <c r="B6" s="104"/>
      <c r="C6" s="104"/>
      <c r="D6" s="104"/>
      <c r="E6" s="104"/>
      <c r="F6" s="104"/>
      <c r="G6" s="104"/>
      <c r="H6" s="105"/>
    </row>
    <row r="7" spans="1:8" ht="15.75" customHeight="1" x14ac:dyDescent="0.2">
      <c r="A7" s="107" t="s">
        <v>111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 t="s">
        <v>204</v>
      </c>
      <c r="H7" s="109" t="s">
        <v>58</v>
      </c>
    </row>
    <row r="8" spans="1:8" ht="15.75" customHeight="1" x14ac:dyDescent="0.25">
      <c r="A8" s="110" t="s">
        <v>114</v>
      </c>
      <c r="B8" s="111">
        <f>COUNTIF(Data!$P$2:$P$500,1)</f>
        <v>0</v>
      </c>
      <c r="C8" s="111">
        <f>COUNTIF(Data!$P$2:$P$500,2)</f>
        <v>0</v>
      </c>
      <c r="D8" s="111">
        <f>COUNTIF(Data!$P$2:$P$500,3)</f>
        <v>2</v>
      </c>
      <c r="E8" s="111">
        <f>COUNTIF(Data!$P$2:$P$500,4)</f>
        <v>8</v>
      </c>
      <c r="F8" s="111">
        <f>COUNTIF(Data!$P$2:$P$500,5)</f>
        <v>40</v>
      </c>
      <c r="G8" s="111">
        <f>COUNTIF(Data!$P$2:$P$500,9)</f>
        <v>0</v>
      </c>
      <c r="H8" s="112">
        <f t="shared" ref="H8:H16" si="0">((B8*1)+(C8*2)+(D8*3)+(E8*4)+(F8*5))/SUM(B8:F8)</f>
        <v>4.76</v>
      </c>
    </row>
    <row r="9" spans="1:8" ht="15.75" customHeight="1" x14ac:dyDescent="0.25">
      <c r="A9" s="110" t="s">
        <v>116</v>
      </c>
      <c r="B9" s="111">
        <f>COUNTIF(Data!$Q$2:$Q$500,1)</f>
        <v>0</v>
      </c>
      <c r="C9" s="111">
        <f>COUNTIF(Data!$Q$2:$Q$500,2)</f>
        <v>0</v>
      </c>
      <c r="D9" s="111">
        <f>COUNTIF(Data!$Q$2:$Q$500,3)</f>
        <v>0</v>
      </c>
      <c r="E9" s="111">
        <f>COUNTIF(Data!$Q$2:$Q$500,4)</f>
        <v>13</v>
      </c>
      <c r="F9" s="111">
        <f>COUNTIF(Data!$Q$2:$Q$500,5)</f>
        <v>23</v>
      </c>
      <c r="G9" s="111">
        <f>COUNTIF(Data!$Q$2:$Q$500,9)</f>
        <v>14</v>
      </c>
      <c r="H9" s="112">
        <f t="shared" si="0"/>
        <v>4.6388888888888893</v>
      </c>
    </row>
    <row r="10" spans="1:8" ht="15.75" customHeight="1" x14ac:dyDescent="0.25">
      <c r="A10" s="110" t="s">
        <v>118</v>
      </c>
      <c r="B10" s="111">
        <f>COUNTIF(Data!$R$2:$R$500,1)</f>
        <v>0</v>
      </c>
      <c r="C10" s="111">
        <f>COUNTIF(Data!$R$2:$R$500,2)</f>
        <v>0</v>
      </c>
      <c r="D10" s="111">
        <f>COUNTIF(Data!$R$2:$R$500,3)</f>
        <v>0</v>
      </c>
      <c r="E10" s="111">
        <f>COUNTIF(Data!$R$2:$R$500,4)</f>
        <v>5</v>
      </c>
      <c r="F10" s="111">
        <f>COUNTIF(Data!$R$2:$R$500,5)</f>
        <v>16</v>
      </c>
      <c r="G10" s="111">
        <f>COUNTIF(Data!$R$2:$R$500,9)</f>
        <v>29</v>
      </c>
      <c r="H10" s="112">
        <f t="shared" si="0"/>
        <v>4.7619047619047619</v>
      </c>
    </row>
    <row r="11" spans="1:8" ht="15.75" customHeight="1" x14ac:dyDescent="0.25">
      <c r="A11" s="110" t="s">
        <v>119</v>
      </c>
      <c r="B11" s="111">
        <f>COUNTIF(Data!$S$2:$S$500,1)</f>
        <v>0</v>
      </c>
      <c r="C11" s="111">
        <f>COUNTIF(Data!$S$2:$S$500,2)</f>
        <v>0</v>
      </c>
      <c r="D11" s="111">
        <f>COUNTIF(Data!$S$2:$S$500,3)</f>
        <v>0</v>
      </c>
      <c r="E11" s="111">
        <f>COUNTIF(Data!$S$2:$S$500,4)</f>
        <v>0</v>
      </c>
      <c r="F11" s="111">
        <f>COUNTIF(Data!$S$2:$S$500,5)</f>
        <v>50</v>
      </c>
      <c r="G11" s="111">
        <f>COUNTIF(Data!$S$2:$S$500,9)</f>
        <v>0</v>
      </c>
      <c r="H11" s="112">
        <f t="shared" si="0"/>
        <v>5</v>
      </c>
    </row>
    <row r="12" spans="1:8" ht="15.75" customHeight="1" x14ac:dyDescent="0.25">
      <c r="A12" s="110" t="s">
        <v>121</v>
      </c>
      <c r="B12" s="111">
        <f>COUNTIF(Data!$T$2:$T$500,1)</f>
        <v>0</v>
      </c>
      <c r="C12" s="111">
        <f>COUNTIF(Data!$T$2:$T$500,2)</f>
        <v>0</v>
      </c>
      <c r="D12" s="111">
        <f>COUNTIF(Data!$T$2:$T$500,3)</f>
        <v>0</v>
      </c>
      <c r="E12" s="111">
        <f>COUNTIF(Data!$T$2:$T$500,4)</f>
        <v>10</v>
      </c>
      <c r="F12" s="111">
        <f>COUNTIF(Data!$T$2:$T$500,5)</f>
        <v>39</v>
      </c>
      <c r="G12" s="111">
        <f>COUNTIF(Data!$T$2:$T$500,9)</f>
        <v>1</v>
      </c>
      <c r="H12" s="112">
        <f t="shared" si="0"/>
        <v>4.795918367346939</v>
      </c>
    </row>
    <row r="13" spans="1:8" ht="15.75" customHeight="1" x14ac:dyDescent="0.25">
      <c r="A13" s="110" t="s">
        <v>205</v>
      </c>
      <c r="B13" s="111">
        <f>COUNTIF(Data!$U$2:$U$500,1)</f>
        <v>0</v>
      </c>
      <c r="C13" s="111">
        <f>COUNTIF(Data!$U$2:$U$500,2)</f>
        <v>0</v>
      </c>
      <c r="D13" s="111">
        <f>COUNTIF(Data!$U$2:$U$500,3)</f>
        <v>1</v>
      </c>
      <c r="E13" s="111">
        <f>COUNTIF(Data!$U$2:$U$500,4)</f>
        <v>8</v>
      </c>
      <c r="F13" s="111">
        <f>COUNTIF(Data!$U$2:$U$500,5)</f>
        <v>30</v>
      </c>
      <c r="G13" s="111">
        <f>COUNTIF(Data!$U$2:$U$500,9)</f>
        <v>11</v>
      </c>
      <c r="H13" s="112">
        <f t="shared" si="0"/>
        <v>4.7435897435897436</v>
      </c>
    </row>
    <row r="14" spans="1:8" ht="15.75" customHeight="1" x14ac:dyDescent="0.25">
      <c r="A14" s="110" t="s">
        <v>124</v>
      </c>
      <c r="B14" s="111">
        <f>COUNTIF(Data!$V$2:$V$500,1)</f>
        <v>0</v>
      </c>
      <c r="C14" s="111">
        <f>COUNTIF(Data!$V$2:$V$500,2)</f>
        <v>0</v>
      </c>
      <c r="D14" s="111">
        <f>COUNTIF(Data!$V$2:$V$500,3)</f>
        <v>0</v>
      </c>
      <c r="E14" s="111">
        <f>COUNTIF(Data!$V$2:$V$500,4)</f>
        <v>9</v>
      </c>
      <c r="F14" s="111">
        <f>COUNTIF(Data!$V$2:$V$500,5)</f>
        <v>30</v>
      </c>
      <c r="G14" s="111">
        <f>COUNTIF(Data!$V$2:$V$500,9)</f>
        <v>11</v>
      </c>
      <c r="H14" s="112">
        <f t="shared" si="0"/>
        <v>4.7692307692307692</v>
      </c>
    </row>
    <row r="15" spans="1:8" ht="15.75" customHeight="1" x14ac:dyDescent="0.25">
      <c r="A15" s="113" t="s">
        <v>126</v>
      </c>
      <c r="B15" s="114">
        <f>COUNTIF(Data!$W$2:$W$500,1)</f>
        <v>0</v>
      </c>
      <c r="C15" s="114">
        <f>COUNTIF(Data!$W$2:$W$500,2)</f>
        <v>0</v>
      </c>
      <c r="D15" s="114">
        <f>COUNTIF(Data!$W$2:$W$500,3)</f>
        <v>0</v>
      </c>
      <c r="E15" s="114">
        <f>COUNTIF(Data!$W$2:$W$500,4)</f>
        <v>8</v>
      </c>
      <c r="F15" s="114">
        <f>COUNTIF(Data!$W$2:$W$500,5)</f>
        <v>28</v>
      </c>
      <c r="G15" s="114">
        <f>COUNTIF(Data!$W$2:$W$500,9)</f>
        <v>14</v>
      </c>
      <c r="H15" s="115">
        <f t="shared" si="0"/>
        <v>4.7777777777777777</v>
      </c>
    </row>
    <row r="16" spans="1:8" ht="15.75" customHeight="1" x14ac:dyDescent="0.25">
      <c r="A16" s="110" t="s">
        <v>206</v>
      </c>
      <c r="B16" s="111">
        <f>COUNTIF(Data!$X$2:$X$500,1)</f>
        <v>1</v>
      </c>
      <c r="C16" s="111">
        <f>COUNTIF(Data!$X$2:$X$500,2)</f>
        <v>7</v>
      </c>
      <c r="D16" s="111">
        <f>COUNTIF(Data!$X$2:$X$500,3)</f>
        <v>17</v>
      </c>
      <c r="E16" s="111">
        <f>COUNTIF(Data!$X$2:$X$500,4)</f>
        <v>12</v>
      </c>
      <c r="F16" s="111">
        <f>COUNTIF(Data!$X$2:$X$500,5)</f>
        <v>5</v>
      </c>
      <c r="G16" s="111">
        <f>COUNTIF(Data!$X$2:$X$500,9)</f>
        <v>8</v>
      </c>
      <c r="H16" s="112">
        <f t="shared" si="0"/>
        <v>3.3095238095238093</v>
      </c>
    </row>
    <row r="17" spans="1:8" x14ac:dyDescent="0.25">
      <c r="A17" s="116" t="s">
        <v>129</v>
      </c>
      <c r="B17" s="80"/>
      <c r="C17" s="80"/>
      <c r="D17" s="80"/>
      <c r="E17" s="80"/>
      <c r="F17" s="80"/>
      <c r="G17" s="80"/>
      <c r="H17" s="80">
        <f>(H8+H9+H10+H11+H12+H13+H16+H14)/8</f>
        <v>4.5973820425606133</v>
      </c>
    </row>
    <row r="18" spans="1:8" ht="15.75" customHeight="1" x14ac:dyDescent="0.2">
      <c r="A18" s="117"/>
    </row>
    <row r="19" spans="1:8" ht="15.75" customHeight="1" x14ac:dyDescent="0.2">
      <c r="A19" s="118" t="s">
        <v>207</v>
      </c>
      <c r="B19" s="119"/>
    </row>
    <row r="20" spans="1:8" ht="15.75" customHeight="1" x14ac:dyDescent="0.2">
      <c r="A20" s="118" t="s">
        <v>208</v>
      </c>
      <c r="B20" s="119"/>
    </row>
    <row r="21" spans="1:8" ht="15.75" customHeight="1" x14ac:dyDescent="0.2">
      <c r="A21" s="118" t="s">
        <v>209</v>
      </c>
      <c r="B21" s="119"/>
    </row>
    <row r="24" spans="1:8" x14ac:dyDescent="0.25">
      <c r="A24" s="120" t="s">
        <v>210</v>
      </c>
      <c r="B24" s="104"/>
      <c r="C24" s="104"/>
      <c r="D24" s="104"/>
      <c r="E24" s="104"/>
      <c r="F24" s="104"/>
      <c r="G24" s="104"/>
      <c r="H24" s="105"/>
    </row>
    <row r="25" spans="1:8" ht="42.75" x14ac:dyDescent="0.2">
      <c r="A25" s="107" t="s">
        <v>111</v>
      </c>
      <c r="B25" s="108">
        <v>1</v>
      </c>
      <c r="C25" s="108">
        <v>2</v>
      </c>
      <c r="D25" s="108">
        <v>3</v>
      </c>
      <c r="E25" s="108">
        <v>4</v>
      </c>
      <c r="F25" s="108">
        <v>5</v>
      </c>
      <c r="G25" s="108" t="s">
        <v>204</v>
      </c>
      <c r="H25" s="109" t="s">
        <v>58</v>
      </c>
    </row>
    <row r="26" spans="1:8" ht="28.5" x14ac:dyDescent="0.25">
      <c r="A26" s="110" t="s">
        <v>133</v>
      </c>
      <c r="B26" s="111">
        <f>COUNTIF(Data!$Y$2:$Y$500,1)</f>
        <v>0</v>
      </c>
      <c r="C26" s="111">
        <f>COUNTIF(Data!$Y$2:$Y$500,2)</f>
        <v>0</v>
      </c>
      <c r="D26" s="111">
        <f>COUNTIF(Data!$Y$2:$Y$500,3)</f>
        <v>0</v>
      </c>
      <c r="E26" s="111">
        <f>COUNTIF(Data!$Y$2:$Y$500,4)</f>
        <v>15</v>
      </c>
      <c r="F26" s="111">
        <f>COUNTIF(Data!$Y$2:$Y$500,5)</f>
        <v>35</v>
      </c>
      <c r="G26" s="111">
        <f>COUNTIF(Data!$Y$2:$Y$500,9)</f>
        <v>0</v>
      </c>
      <c r="H26" s="112">
        <f t="shared" ref="H26:H29" si="1">((B26*1)+(C26*2)+(D26*3)+(E26*4)+(F26*5))/SUM(B26:F26)</f>
        <v>4.7</v>
      </c>
    </row>
    <row r="27" spans="1:8" ht="15" x14ac:dyDescent="0.25">
      <c r="A27" s="110" t="s">
        <v>134</v>
      </c>
      <c r="B27" s="111">
        <f>COUNTIF(Data!$Z$2:$Z$500,1)</f>
        <v>0</v>
      </c>
      <c r="C27" s="111">
        <f>COUNTIF(Data!$Z$2:$Z$500,2)</f>
        <v>0</v>
      </c>
      <c r="D27" s="111">
        <f>COUNTIF(Data!$Z$2:$Z$500,3)</f>
        <v>1</v>
      </c>
      <c r="E27" s="111">
        <f>COUNTIF(Data!$Z$2:$Z$500,4)</f>
        <v>15</v>
      </c>
      <c r="F27" s="111">
        <f>COUNTIF(Data!$Z$2:$Z$500,5)</f>
        <v>34</v>
      </c>
      <c r="G27" s="111">
        <f>COUNTIF(Data!$Z$2:$Z$500,9)</f>
        <v>0</v>
      </c>
      <c r="H27" s="112">
        <f t="shared" si="1"/>
        <v>4.66</v>
      </c>
    </row>
    <row r="28" spans="1:8" ht="15" x14ac:dyDescent="0.25">
      <c r="A28" s="110" t="s">
        <v>135</v>
      </c>
      <c r="B28" s="111">
        <f>COUNTIF(Data!$AA$2:$AA$500,1)</f>
        <v>0</v>
      </c>
      <c r="C28" s="111">
        <f>COUNTIF(Data!$AA$2:$AA$500,2)</f>
        <v>0</v>
      </c>
      <c r="D28" s="111">
        <f>COUNTIF(Data!$AA$2:$AA$500,3)</f>
        <v>2</v>
      </c>
      <c r="E28" s="111">
        <f>COUNTIF(Data!$AA$2:$AA$500,4)</f>
        <v>5</v>
      </c>
      <c r="F28" s="111">
        <f>COUNTIF(Data!$AA$2:$AA$500,5)</f>
        <v>43</v>
      </c>
      <c r="G28" s="111">
        <f>COUNTIF(Data!$AA$2:$AA$500,9)</f>
        <v>0</v>
      </c>
      <c r="H28" s="112">
        <f t="shared" si="1"/>
        <v>4.82</v>
      </c>
    </row>
    <row r="29" spans="1:8" ht="15" x14ac:dyDescent="0.25">
      <c r="A29" s="110" t="s">
        <v>137</v>
      </c>
      <c r="B29" s="111">
        <f>COUNTIF(Data!$AB$2:$AB$500,1)</f>
        <v>0</v>
      </c>
      <c r="C29" s="111">
        <f>COUNTIF(Data!$AB$2:$AB$500,2)</f>
        <v>0</v>
      </c>
      <c r="D29" s="111">
        <f>COUNTIF(Data!$AB$2:$AB$500,3)</f>
        <v>0</v>
      </c>
      <c r="E29" s="111">
        <f>COUNTIF(Data!$AB$2:$AB$500,4)</f>
        <v>23</v>
      </c>
      <c r="F29" s="111">
        <f>COUNTIF(Data!$AB$2:$AB$500,5)</f>
        <v>27</v>
      </c>
      <c r="G29" s="111">
        <f>COUNTIF(Data!$AB$2:$AB$500,9)</f>
        <v>0</v>
      </c>
      <c r="H29" s="112">
        <f t="shared" si="1"/>
        <v>4.54</v>
      </c>
    </row>
    <row r="30" spans="1:8" x14ac:dyDescent="0.25">
      <c r="A30" s="116" t="s">
        <v>129</v>
      </c>
      <c r="B30" s="80"/>
      <c r="C30" s="80"/>
      <c r="D30" s="80"/>
      <c r="E30" s="80"/>
      <c r="F30" s="80"/>
      <c r="G30" s="80"/>
      <c r="H30" s="80">
        <f>(H26+H27+H28+H29)/4</f>
        <v>4.68</v>
      </c>
    </row>
    <row r="34" spans="1:8" x14ac:dyDescent="0.25">
      <c r="A34" s="120" t="s">
        <v>211</v>
      </c>
      <c r="B34" s="104"/>
      <c r="C34" s="104"/>
      <c r="D34" s="104"/>
      <c r="E34" s="104"/>
      <c r="F34" s="104"/>
      <c r="G34" s="104"/>
      <c r="H34" s="105"/>
    </row>
    <row r="35" spans="1:8" ht="42.75" x14ac:dyDescent="0.2">
      <c r="A35" s="107" t="s">
        <v>111</v>
      </c>
      <c r="B35" s="108">
        <v>1</v>
      </c>
      <c r="C35" s="108">
        <v>2</v>
      </c>
      <c r="D35" s="108">
        <v>3</v>
      </c>
      <c r="E35" s="108">
        <v>4</v>
      </c>
      <c r="F35" s="108">
        <v>5</v>
      </c>
      <c r="G35" s="108" t="s">
        <v>204</v>
      </c>
      <c r="H35" s="109" t="s">
        <v>58</v>
      </c>
    </row>
    <row r="36" spans="1:8" x14ac:dyDescent="0.25">
      <c r="A36" s="121" t="s">
        <v>139</v>
      </c>
      <c r="B36" s="111">
        <f>COUNTIF(Data!$AC$2:$AC$500,1)</f>
        <v>0</v>
      </c>
      <c r="C36" s="111">
        <f>COUNTIF(Data!$AC$2:$AC$500,2)</f>
        <v>0</v>
      </c>
      <c r="D36" s="111">
        <f>COUNTIF(Data!$AC$2:$AC$500,3)</f>
        <v>0</v>
      </c>
      <c r="E36" s="111">
        <f>COUNTIF(Data!$AC$2:$AC$500,4)</f>
        <v>15</v>
      </c>
      <c r="F36" s="111">
        <f>COUNTIF(Data!$AC$2:$AC$500,5)</f>
        <v>34</v>
      </c>
      <c r="G36" s="111">
        <f>COUNTIF(Data!$AC$2:$AC$500,9)</f>
        <v>1</v>
      </c>
      <c r="H36" s="112">
        <f>((B36*1)+(C36*2)+(D36*3)+(E36*4)+(F36*5))/SUM(B36:F36)</f>
        <v>4.6938775510204085</v>
      </c>
    </row>
    <row r="37" spans="1:8" x14ac:dyDescent="0.25">
      <c r="A37" s="121" t="s">
        <v>141</v>
      </c>
      <c r="B37" s="111"/>
      <c r="C37" s="111"/>
      <c r="D37" s="111"/>
      <c r="E37" s="111"/>
      <c r="F37" s="111"/>
      <c r="G37" s="111"/>
      <c r="H37" s="112"/>
    </row>
    <row r="38" spans="1:8" ht="15" x14ac:dyDescent="0.25">
      <c r="A38" s="110" t="s">
        <v>142</v>
      </c>
      <c r="B38" s="111">
        <f>COUNTIF(Data!$AD$2:$AD$500,1)</f>
        <v>0</v>
      </c>
      <c r="C38" s="111">
        <f>COUNTIF(Data!$AD$2:$AD$500,2)</f>
        <v>0</v>
      </c>
      <c r="D38" s="111">
        <f>COUNTIF(Data!$AD$2:$AD$500,3)</f>
        <v>0</v>
      </c>
      <c r="E38" s="111">
        <f>COUNTIF(Data!$AD$2:$AD$500,4)</f>
        <v>17</v>
      </c>
      <c r="F38" s="111">
        <f>COUNTIF(Data!$AD$2:$AD$500,5)</f>
        <v>29</v>
      </c>
      <c r="G38" s="111">
        <f>COUNTIF(Data!$AD$2:$AD$500,9)</f>
        <v>4</v>
      </c>
      <c r="H38" s="112">
        <f t="shared" ref="H38:H42" si="2">((B38*1)+(C38*2)+(D38*3)+(E38*4)+(F38*5))/SUM(B38:F38)</f>
        <v>4.6304347826086953</v>
      </c>
    </row>
    <row r="39" spans="1:8" ht="15" x14ac:dyDescent="0.25">
      <c r="A39" s="110" t="s">
        <v>143</v>
      </c>
      <c r="B39" s="111">
        <f>COUNTIF(Data!$AE$2:$AE$500,1)</f>
        <v>0</v>
      </c>
      <c r="C39" s="111">
        <f>COUNTIF(Data!$AE$2:$AE$500,2)</f>
        <v>0</v>
      </c>
      <c r="D39" s="111">
        <f>COUNTIF(Data!$AE$2:$AE$500,3)</f>
        <v>0</v>
      </c>
      <c r="E39" s="111">
        <f>COUNTIF(Data!$AE$2:$AE$500,4)</f>
        <v>13</v>
      </c>
      <c r="F39" s="111">
        <f>COUNTIF(Data!$AE$2:$AE$500,5)</f>
        <v>36</v>
      </c>
      <c r="G39" s="111">
        <f>COUNTIF(Data!$AE$2:$AE$500,9)</f>
        <v>1</v>
      </c>
      <c r="H39" s="112">
        <f t="shared" si="2"/>
        <v>4.7346938775510203</v>
      </c>
    </row>
    <row r="40" spans="1:8" ht="15" x14ac:dyDescent="0.25">
      <c r="A40" s="110" t="s">
        <v>145</v>
      </c>
      <c r="B40" s="111">
        <f>COUNTIF(Data!$AF$2:$AF$500,1)</f>
        <v>0</v>
      </c>
      <c r="C40" s="111">
        <f>COUNTIF(Data!$AF$2:$AF$500,2)</f>
        <v>0</v>
      </c>
      <c r="D40" s="111">
        <f>COUNTIF(Data!$AF$2:$AF$500,3)</f>
        <v>0</v>
      </c>
      <c r="E40" s="111">
        <f>COUNTIF(Data!$AF$2:$AF$500,4)</f>
        <v>12</v>
      </c>
      <c r="F40" s="111">
        <f>COUNTIF(Data!$AF$2:$AF$500,5)</f>
        <v>37</v>
      </c>
      <c r="G40" s="111">
        <f>COUNTIF(Data!$AF$2:$AF$500,9)</f>
        <v>1</v>
      </c>
      <c r="H40" s="112">
        <f t="shared" si="2"/>
        <v>4.7551020408163263</v>
      </c>
    </row>
    <row r="41" spans="1:8" ht="15" x14ac:dyDescent="0.25">
      <c r="A41" s="110" t="s">
        <v>146</v>
      </c>
      <c r="B41" s="111">
        <f>COUNTIF(Data!$AG$2:$AG$500,1)</f>
        <v>0</v>
      </c>
      <c r="C41" s="111">
        <f>COUNTIF(Data!$AG$2:$AG$500,2)</f>
        <v>0</v>
      </c>
      <c r="D41" s="111">
        <f>COUNTIF(Data!$AG$2:$AG$500,3)</f>
        <v>0</v>
      </c>
      <c r="E41" s="111">
        <f>COUNTIF(Data!$AG$2:$AG$500,4)</f>
        <v>12</v>
      </c>
      <c r="F41" s="111">
        <f>COUNTIF(Data!$AG$2:$AG$500,5)</f>
        <v>37</v>
      </c>
      <c r="G41" s="111">
        <f>COUNTIF(Data!$AG$2:$AG$500,9)</f>
        <v>1</v>
      </c>
      <c r="H41" s="112">
        <f t="shared" si="2"/>
        <v>4.7551020408163263</v>
      </c>
    </row>
    <row r="42" spans="1:8" ht="15" x14ac:dyDescent="0.25">
      <c r="A42" s="110" t="s">
        <v>148</v>
      </c>
      <c r="B42" s="111">
        <f>COUNTIF(Data!$AH$2:$AH$500,1)</f>
        <v>0</v>
      </c>
      <c r="C42" s="111">
        <f>COUNTIF(Data!$AH$2:$AH$500,2)</f>
        <v>0</v>
      </c>
      <c r="D42" s="111">
        <f>COUNTIF(Data!$AH$2:$AH$500,3)</f>
        <v>0</v>
      </c>
      <c r="E42" s="111">
        <f>COUNTIF(Data!$AH$2:$AH$500,4)</f>
        <v>9</v>
      </c>
      <c r="F42" s="111">
        <f>COUNTIF(Data!$AH$2:$AH$500,5)</f>
        <v>40</v>
      </c>
      <c r="G42" s="111">
        <f>COUNTIF(Data!$AH$2:$AH$500,9)</f>
        <v>1</v>
      </c>
      <c r="H42" s="112">
        <f t="shared" si="2"/>
        <v>4.8163265306122449</v>
      </c>
    </row>
    <row r="43" spans="1:8" ht="15" x14ac:dyDescent="0.25">
      <c r="A43" s="135" t="s">
        <v>149</v>
      </c>
      <c r="B43" s="136"/>
      <c r="C43" s="137"/>
      <c r="D43" s="109" t="s">
        <v>212</v>
      </c>
      <c r="E43" s="111">
        <f>COUNTIF(Data!$AI$2:$AI$500,"Так")</f>
        <v>29</v>
      </c>
      <c r="F43" s="109" t="s">
        <v>213</v>
      </c>
      <c r="G43" s="111">
        <f>COUNTIF(Data!$AI$2:$AI$500,"Ні")</f>
        <v>21</v>
      </c>
      <c r="H43" s="112"/>
    </row>
    <row r="44" spans="1:8" ht="15" x14ac:dyDescent="0.25">
      <c r="A44" s="110" t="s">
        <v>152</v>
      </c>
      <c r="B44" s="111">
        <f>COUNTIF(Data!$AJ$2:$AJ$500,1)</f>
        <v>0</v>
      </c>
      <c r="C44" s="111">
        <f>COUNTIF(Data!$AJ$2:$AJ$500,2)</f>
        <v>0</v>
      </c>
      <c r="D44" s="111">
        <f>COUNTIF(Data!$AJ$2:$AJ$500,3)</f>
        <v>1</v>
      </c>
      <c r="E44" s="111">
        <f>COUNTIF(Data!$AJ$2:$AJ$500,4)</f>
        <v>11</v>
      </c>
      <c r="F44" s="111">
        <f>COUNTIF(Data!$AJ$2:$AJ$500,5)</f>
        <v>16</v>
      </c>
      <c r="G44" s="111">
        <f>COUNTIF(Data!$AJ$2:$AJ$500,9)</f>
        <v>22</v>
      </c>
      <c r="H44" s="112">
        <f>((B44*1)+(C44*2)+(D44*3)+(E44*4)+(F44*5))/SUM(B44:F44)</f>
        <v>4.5357142857142856</v>
      </c>
    </row>
    <row r="45" spans="1:8" x14ac:dyDescent="0.25">
      <c r="A45" s="116" t="s">
        <v>129</v>
      </c>
      <c r="B45" s="80"/>
      <c r="C45" s="80"/>
      <c r="D45" s="80"/>
      <c r="E45" s="80"/>
      <c r="F45" s="80"/>
      <c r="G45" s="80"/>
      <c r="H45" s="80">
        <f>(H36+H38+H39+H40+H41+H42+H43+H44)/7</f>
        <v>4.7030358727341861</v>
      </c>
    </row>
    <row r="49" spans="1:8" x14ac:dyDescent="0.25">
      <c r="A49" s="120" t="s">
        <v>214</v>
      </c>
      <c r="B49" s="104"/>
      <c r="C49" s="104"/>
      <c r="D49" s="104"/>
      <c r="E49" s="104"/>
      <c r="F49" s="104"/>
      <c r="G49" s="104"/>
      <c r="H49" s="105"/>
    </row>
    <row r="50" spans="1:8" ht="42.75" x14ac:dyDescent="0.2">
      <c r="A50" s="107" t="s">
        <v>111</v>
      </c>
      <c r="B50" s="108">
        <v>1</v>
      </c>
      <c r="C50" s="109">
        <v>2</v>
      </c>
      <c r="D50" s="108">
        <v>3</v>
      </c>
      <c r="E50" s="108">
        <v>4</v>
      </c>
      <c r="F50" s="108">
        <v>5</v>
      </c>
      <c r="G50" s="108" t="s">
        <v>204</v>
      </c>
      <c r="H50" s="109" t="s">
        <v>58</v>
      </c>
    </row>
    <row r="51" spans="1:8" x14ac:dyDescent="0.25">
      <c r="A51" s="50" t="s">
        <v>155</v>
      </c>
      <c r="B51" s="111">
        <f>COUNTIF(Data!$AK$2:$AK$500,1)</f>
        <v>0</v>
      </c>
      <c r="C51" s="111">
        <f>COUNTIF(Data!$AK$2:$AK$500,2)</f>
        <v>0</v>
      </c>
      <c r="D51" s="111">
        <f>COUNTIF(Data!$AK$2:$AK$500,3)</f>
        <v>0</v>
      </c>
      <c r="E51" s="111">
        <f>COUNTIF(Data!$AK$2:$AK$500,4)</f>
        <v>15</v>
      </c>
      <c r="F51" s="111">
        <f>COUNTIF(Data!$AK$2:$AK$500,5)</f>
        <v>14</v>
      </c>
      <c r="G51" s="111">
        <f>COUNTIF(Data!$AK$2:$AK$500,9)</f>
        <v>21</v>
      </c>
      <c r="H51" s="112">
        <f>((B51*1)+(C51*2)+(D51*3)+(E51*4)+(F51*5))/SUM(B51:F51)</f>
        <v>4.4827586206896548</v>
      </c>
    </row>
    <row r="52" spans="1:8" ht="45.75" x14ac:dyDescent="0.25">
      <c r="A52" s="50" t="s">
        <v>156</v>
      </c>
      <c r="B52" s="111">
        <f>COUNTIF(Data!$AL$2:$AL$500,1)</f>
        <v>17</v>
      </c>
      <c r="C52" s="111">
        <f>COUNTIF(Data!$AL$2:$AL$500,2)</f>
        <v>12</v>
      </c>
      <c r="D52" s="111">
        <f>COUNTIF(Data!$AL$2:$AL$500,3)</f>
        <v>1</v>
      </c>
      <c r="E52" s="111">
        <f>COUNTIF(Data!$AL$2:$AL$500,4)</f>
        <v>0</v>
      </c>
      <c r="F52" s="111">
        <f>COUNTIF(Data!$AL$2:$AL$500,5)</f>
        <v>0</v>
      </c>
      <c r="G52" s="111">
        <f>COUNTIF(Data!$AL$2:$AL$500,9)</f>
        <v>20</v>
      </c>
      <c r="H52" s="112">
        <f>((B52*5)+(C52*4)+(D52*3)+(E52*2)+(F52*1))/SUM(B52:F52)</f>
        <v>4.5333333333333332</v>
      </c>
    </row>
    <row r="53" spans="1:8" ht="15" x14ac:dyDescent="0.25">
      <c r="A53" s="122" t="s">
        <v>157</v>
      </c>
      <c r="B53" s="111"/>
      <c r="C53" s="111"/>
      <c r="D53" s="111"/>
      <c r="E53" s="111"/>
      <c r="F53" s="111"/>
      <c r="G53" s="111"/>
      <c r="H53" s="112"/>
    </row>
    <row r="54" spans="1:8" ht="15" x14ac:dyDescent="0.25">
      <c r="A54" s="110" t="s">
        <v>158</v>
      </c>
      <c r="B54" s="111">
        <f>COUNTIF(Data!$AM$2:$AM$500,1)</f>
        <v>0</v>
      </c>
      <c r="C54" s="111">
        <f>COUNTIF(Data!$AM$2:$AM$500,2)</f>
        <v>0</v>
      </c>
      <c r="D54" s="111">
        <f>COUNTIF(Data!$AM$2:$AM$500,3)</f>
        <v>0</v>
      </c>
      <c r="E54" s="111">
        <f>COUNTIF(Data!$AM$2:$AM$500,4)</f>
        <v>7</v>
      </c>
      <c r="F54" s="111">
        <f>COUNTIF(Data!$AM$2:$AM$500,5)</f>
        <v>23</v>
      </c>
      <c r="G54" s="111">
        <f>COUNTIF(Data!$AM$2:$AM$500,9)</f>
        <v>20</v>
      </c>
      <c r="H54" s="112">
        <f t="shared" ref="H54:H56" si="3">((B54*1)+(C54*2)+(D54*3)+(E54*4)+(F54*5))/SUM(B54:F54)</f>
        <v>4.7666666666666666</v>
      </c>
    </row>
    <row r="55" spans="1:8" ht="15" x14ac:dyDescent="0.25">
      <c r="A55" s="110" t="s">
        <v>159</v>
      </c>
      <c r="B55" s="111">
        <f>COUNTIF(Data!$AN$2:$AN$500,1)</f>
        <v>0</v>
      </c>
      <c r="C55" s="111">
        <f>COUNTIF(Data!$AN$2:$AN$500,2)</f>
        <v>0</v>
      </c>
      <c r="D55" s="111">
        <f>COUNTIF(Data!$AN$2:$AN$500,3)</f>
        <v>0</v>
      </c>
      <c r="E55" s="111">
        <f>COUNTIF(Data!$AN$2:$AN$500,4)</f>
        <v>2</v>
      </c>
      <c r="F55" s="111">
        <f>COUNTIF(Data!$AN$2:$AN$500,5)</f>
        <v>28</v>
      </c>
      <c r="G55" s="111">
        <f>COUNTIF(Data!$AN$2:$AN$500,9)</f>
        <v>20</v>
      </c>
      <c r="H55" s="112">
        <f t="shared" si="3"/>
        <v>4.9333333333333336</v>
      </c>
    </row>
    <row r="56" spans="1:8" ht="15" x14ac:dyDescent="0.25">
      <c r="A56" s="110" t="s">
        <v>160</v>
      </c>
      <c r="B56" s="111">
        <f>COUNTIF(Data!$AO$2:$AO$500,1)</f>
        <v>0</v>
      </c>
      <c r="C56" s="111">
        <f>COUNTIF(Data!$AO$2:$AO$500,2)</f>
        <v>0</v>
      </c>
      <c r="D56" s="111">
        <f>COUNTIF(Data!$AO$2:$AO$500,3)</f>
        <v>0</v>
      </c>
      <c r="E56" s="111">
        <f>COUNTIF(Data!$AO$2:$AO$500,4)</f>
        <v>6</v>
      </c>
      <c r="F56" s="111">
        <f>COUNTIF(Data!$AO$2:$AO$500,5)</f>
        <v>24</v>
      </c>
      <c r="G56" s="111">
        <f>COUNTIF(Data!$AO$2:$AO$500,9)</f>
        <v>20</v>
      </c>
      <c r="H56" s="112">
        <f t="shared" si="3"/>
        <v>4.8</v>
      </c>
    </row>
    <row r="57" spans="1:8" x14ac:dyDescent="0.25">
      <c r="A57" s="116" t="s">
        <v>129</v>
      </c>
      <c r="B57" s="80"/>
      <c r="C57" s="80"/>
      <c r="D57" s="80"/>
      <c r="E57" s="80"/>
      <c r="F57" s="80"/>
      <c r="G57" s="80"/>
      <c r="H57" s="80">
        <f>(H51+H52+H54+H55+H56)/5</f>
        <v>4.7032183908045981</v>
      </c>
    </row>
    <row r="61" spans="1:8" x14ac:dyDescent="0.25">
      <c r="A61" s="120" t="s">
        <v>215</v>
      </c>
      <c r="B61" s="104"/>
      <c r="C61" s="104"/>
      <c r="D61" s="104"/>
      <c r="E61" s="104"/>
      <c r="F61" s="104"/>
      <c r="G61" s="104"/>
      <c r="H61" s="105"/>
    </row>
    <row r="62" spans="1:8" ht="42.75" x14ac:dyDescent="0.2">
      <c r="A62" s="107" t="s">
        <v>111</v>
      </c>
      <c r="B62" s="108">
        <v>1</v>
      </c>
      <c r="C62" s="108">
        <v>2</v>
      </c>
      <c r="D62" s="108">
        <v>3</v>
      </c>
      <c r="E62" s="108">
        <v>4</v>
      </c>
      <c r="F62" s="108">
        <v>5</v>
      </c>
      <c r="G62" s="108" t="s">
        <v>204</v>
      </c>
      <c r="H62" s="109" t="s">
        <v>58</v>
      </c>
    </row>
    <row r="63" spans="1:8" ht="30.75" x14ac:dyDescent="0.25">
      <c r="A63" s="50" t="s">
        <v>162</v>
      </c>
      <c r="B63" s="111">
        <f>COUNTIF(Data!$AP$2:$AP$500,1)</f>
        <v>0</v>
      </c>
      <c r="C63" s="111">
        <f>COUNTIF(Data!$AP$2:$AP$500,2)</f>
        <v>0</v>
      </c>
      <c r="D63" s="111">
        <f>COUNTIF(Data!$AP$2:$AP$500,3)</f>
        <v>3</v>
      </c>
      <c r="E63" s="111">
        <f>COUNTIF(Data!$AP$2:$AP$500,4)</f>
        <v>19</v>
      </c>
      <c r="F63" s="111">
        <f>COUNTIF(Data!$AP$2:$AP$500,5)</f>
        <v>8</v>
      </c>
      <c r="G63" s="111">
        <f>COUNTIF(Data!$AP$2:$AP$500,9)</f>
        <v>20</v>
      </c>
      <c r="H63" s="112">
        <f t="shared" ref="H63:H66" si="4">((B63*1)+(C63*2)+(D63*3)+(E63*4)+(F63*5))/SUM(B63:F63)</f>
        <v>4.166666666666667</v>
      </c>
    </row>
    <row r="64" spans="1:8" ht="30.75" x14ac:dyDescent="0.25">
      <c r="A64" s="50" t="s">
        <v>163</v>
      </c>
      <c r="B64" s="111">
        <f>COUNTIF(Data!$AQ$2:$AQ$500,1)</f>
        <v>1</v>
      </c>
      <c r="C64" s="111">
        <f>COUNTIF(Data!$AQ$2:$AQ$500,2)</f>
        <v>0</v>
      </c>
      <c r="D64" s="111">
        <f>COUNTIF(Data!$AQ$2:$AQ$500,3)</f>
        <v>3</v>
      </c>
      <c r="E64" s="111">
        <f>COUNTIF(Data!$AQ$2:$AQ$500,4)</f>
        <v>9</v>
      </c>
      <c r="F64" s="111">
        <f>COUNTIF(Data!$AQ$2:$AQ$500,5)</f>
        <v>13</v>
      </c>
      <c r="G64" s="111">
        <f>COUNTIF(Data!$AQ$2:$AQ$500,9)</f>
        <v>24</v>
      </c>
      <c r="H64" s="112">
        <f t="shared" si="4"/>
        <v>4.2692307692307692</v>
      </c>
    </row>
    <row r="65" spans="1:8" ht="30.75" x14ac:dyDescent="0.25">
      <c r="A65" s="50" t="s">
        <v>164</v>
      </c>
      <c r="B65" s="111">
        <f>COUNTIF(Data!$AR$2:$AR$500,1)</f>
        <v>1</v>
      </c>
      <c r="C65" s="111">
        <f>COUNTIF(Data!$AR$2:$AR$500,2)</f>
        <v>0</v>
      </c>
      <c r="D65" s="111">
        <f>COUNTIF(Data!$AR$2:$AR$500,3)</f>
        <v>2</v>
      </c>
      <c r="E65" s="111">
        <f>COUNTIF(Data!$AR$2:$AR$500,4)</f>
        <v>9</v>
      </c>
      <c r="F65" s="111">
        <f>COUNTIF(Data!$AR$2:$AR$500,5)</f>
        <v>17</v>
      </c>
      <c r="G65" s="111">
        <f>COUNTIF(Data!$AR$2:$AR$500,9)</f>
        <v>21</v>
      </c>
      <c r="H65" s="112">
        <f t="shared" si="4"/>
        <v>4.4137931034482758</v>
      </c>
    </row>
    <row r="66" spans="1:8" ht="30.75" x14ac:dyDescent="0.25">
      <c r="A66" s="50" t="s">
        <v>165</v>
      </c>
      <c r="B66" s="111">
        <f>COUNTIF(Data!$AS$2:$AS$500,1)</f>
        <v>0</v>
      </c>
      <c r="C66" s="111">
        <f>COUNTIF(Data!$AS$2:$AS$500,2)</f>
        <v>0</v>
      </c>
      <c r="D66" s="111">
        <f>COUNTIF(Data!$AS$2:$AS$500,3)</f>
        <v>4</v>
      </c>
      <c r="E66" s="111">
        <f>COUNTIF(Data!$AS$2:$AS$500,4)</f>
        <v>10</v>
      </c>
      <c r="F66" s="111">
        <f>COUNTIF(Data!$AS$2:$AS$500,5)</f>
        <v>14</v>
      </c>
      <c r="G66" s="111">
        <f>COUNTIF(Data!$AS$2:$AS$500,9)</f>
        <v>22</v>
      </c>
      <c r="H66" s="112">
        <f t="shared" si="4"/>
        <v>4.3571428571428568</v>
      </c>
    </row>
    <row r="67" spans="1:8" x14ac:dyDescent="0.25">
      <c r="A67" s="116" t="s">
        <v>129</v>
      </c>
      <c r="B67" s="80"/>
      <c r="C67" s="80"/>
      <c r="D67" s="80"/>
      <c r="E67" s="80"/>
      <c r="F67" s="80"/>
      <c r="G67" s="80"/>
      <c r="H67" s="80">
        <f>(H63+H65+H66+H66)/4</f>
        <v>4.3236863711001643</v>
      </c>
    </row>
    <row r="71" spans="1:8" x14ac:dyDescent="0.25">
      <c r="A71" s="120" t="s">
        <v>241</v>
      </c>
      <c r="B71" s="104"/>
      <c r="C71" s="104"/>
      <c r="D71" s="104"/>
      <c r="E71" s="104"/>
      <c r="F71" s="104"/>
      <c r="G71" s="104"/>
      <c r="H71" s="105"/>
    </row>
    <row r="72" spans="1:8" ht="42.75" x14ac:dyDescent="0.2">
      <c r="A72" s="107" t="s">
        <v>111</v>
      </c>
      <c r="B72" s="108">
        <v>1</v>
      </c>
      <c r="C72" s="108">
        <v>2</v>
      </c>
      <c r="D72" s="108">
        <v>3</v>
      </c>
      <c r="E72" s="108">
        <v>4</v>
      </c>
      <c r="F72" s="108">
        <v>5</v>
      </c>
      <c r="G72" s="108" t="s">
        <v>204</v>
      </c>
      <c r="H72" s="109" t="s">
        <v>58</v>
      </c>
    </row>
    <row r="73" spans="1:8" ht="30.75" x14ac:dyDescent="0.25">
      <c r="A73" s="125" t="s">
        <v>259</v>
      </c>
      <c r="B73" s="111"/>
      <c r="C73" s="111"/>
      <c r="D73" s="111"/>
      <c r="E73" s="111"/>
      <c r="F73" s="111"/>
      <c r="G73" s="111"/>
      <c r="H73" s="112"/>
    </row>
    <row r="74" spans="1:8" ht="30.75" x14ac:dyDescent="0.25">
      <c r="A74" s="50" t="s">
        <v>167</v>
      </c>
      <c r="B74" s="111">
        <f>COUNTIF(Data!$AT$2:$AT$500,1)</f>
        <v>0</v>
      </c>
      <c r="C74" s="111">
        <f>COUNTIF(Data!$AT$2:$AT$500,2)</f>
        <v>0</v>
      </c>
      <c r="D74" s="111">
        <f>COUNTIF(Data!$AT$2:$AT$500,3)</f>
        <v>0</v>
      </c>
      <c r="E74" s="111">
        <f>COUNTIF(Data!$AT$2:$AT$500,4)</f>
        <v>2</v>
      </c>
      <c r="F74" s="111">
        <f>COUNTIF(Data!$AT$2:$AT$500,5)</f>
        <v>24</v>
      </c>
      <c r="G74" s="111">
        <f>COUNTIF(Data!$AT$2:$AT$500,9)</f>
        <v>24</v>
      </c>
      <c r="H74" s="112">
        <f t="shared" ref="H74:H78" si="5">((B74*1)+(C74*2)+(D74*3)+(E74*4)+(F74*5))/SUM(B74:F74)</f>
        <v>4.9230769230769234</v>
      </c>
    </row>
    <row r="75" spans="1:8" x14ac:dyDescent="0.25">
      <c r="A75" s="50" t="s">
        <v>168</v>
      </c>
      <c r="B75" s="111">
        <f>COUNTIF(Data!$AU$2:$AU$500,1)</f>
        <v>0</v>
      </c>
      <c r="C75" s="111">
        <f>COUNTIF(Data!$AU$2:$AU$500,2)</f>
        <v>0</v>
      </c>
      <c r="D75" s="111">
        <f>COUNTIF(Data!$AU$2:$AU$500,3)</f>
        <v>0</v>
      </c>
      <c r="E75" s="111">
        <f>COUNTIF(Data!$AU$2:$AU$500,4)</f>
        <v>0</v>
      </c>
      <c r="F75" s="111">
        <f>COUNTIF(Data!$AU$2:$AU$500,5)</f>
        <v>27</v>
      </c>
      <c r="G75" s="111">
        <f>COUNTIF(Data!$AU$2:$AU$500,9)</f>
        <v>23</v>
      </c>
      <c r="H75" s="112">
        <f t="shared" si="5"/>
        <v>5</v>
      </c>
    </row>
    <row r="76" spans="1:8" x14ac:dyDescent="0.25">
      <c r="A76" s="50" t="s">
        <v>169</v>
      </c>
      <c r="B76" s="111">
        <f>COUNTIF(Data!$AV$2:$AV$500,1)</f>
        <v>0</v>
      </c>
      <c r="C76" s="111">
        <f>COUNTIF(Data!$AV$2:$AV$500,2)</f>
        <v>0</v>
      </c>
      <c r="D76" s="111">
        <f>COUNTIF(Data!$AV$2:$AV$500,3)</f>
        <v>0</v>
      </c>
      <c r="E76" s="111">
        <f>COUNTIF(Data!$AV$2:$AV$500,4)</f>
        <v>8</v>
      </c>
      <c r="F76" s="111">
        <f>COUNTIF(Data!$AV$2:$AV$500,5)</f>
        <v>19</v>
      </c>
      <c r="G76" s="111">
        <f>COUNTIF(Data!$AV$2:$AV$500,9)</f>
        <v>23</v>
      </c>
      <c r="H76" s="112">
        <f t="shared" si="5"/>
        <v>4.7037037037037033</v>
      </c>
    </row>
    <row r="77" spans="1:8" x14ac:dyDescent="0.25">
      <c r="A77" s="50" t="s">
        <v>170</v>
      </c>
      <c r="B77" s="111">
        <f>COUNTIF(Data!$AW$2:$AW$500,1)</f>
        <v>0</v>
      </c>
      <c r="C77" s="111">
        <f>COUNTIF(Data!$AW$2:$AW$500,2)</f>
        <v>0</v>
      </c>
      <c r="D77" s="111">
        <f>COUNTIF(Data!$AW$2:$AW$500,3)</f>
        <v>0</v>
      </c>
      <c r="E77" s="111">
        <f>COUNTIF(Data!$AW$2:$AW$500,4)</f>
        <v>1</v>
      </c>
      <c r="F77" s="111">
        <f>COUNTIF(Data!$AW$2:$AW$500,5)</f>
        <v>26</v>
      </c>
      <c r="G77" s="111">
        <f>COUNTIF(Data!$AW$2:$AW$500,9)</f>
        <v>23</v>
      </c>
      <c r="H77" s="112">
        <f t="shared" si="5"/>
        <v>4.9629629629629628</v>
      </c>
    </row>
    <row r="78" spans="1:8" x14ac:dyDescent="0.25">
      <c r="A78" s="50" t="s">
        <v>171</v>
      </c>
      <c r="B78" s="111">
        <f>COUNTIF(Data!$AX$2:$AX$500,1)</f>
        <v>0</v>
      </c>
      <c r="C78" s="111">
        <f>COUNTIF(Data!$AX$2:$AX$500,2)</f>
        <v>0</v>
      </c>
      <c r="D78" s="111">
        <f>COUNTIF(Data!$AX$2:$AX$500,3)</f>
        <v>0</v>
      </c>
      <c r="E78" s="111">
        <f>COUNTIF(Data!$AX$2:$AX$500,4)</f>
        <v>1</v>
      </c>
      <c r="F78" s="111">
        <f>COUNTIF(Data!$AX$2:$AX$500,5)</f>
        <v>25</v>
      </c>
      <c r="G78" s="111">
        <f>COUNTIF(Data!$AX$2:$AX$500,9)</f>
        <v>24</v>
      </c>
      <c r="H78" s="112">
        <f t="shared" si="5"/>
        <v>4.9615384615384617</v>
      </c>
    </row>
    <row r="79" spans="1:8" x14ac:dyDescent="0.25">
      <c r="A79" s="116" t="s">
        <v>129</v>
      </c>
      <c r="B79" s="80"/>
      <c r="C79" s="80"/>
      <c r="D79" s="80"/>
      <c r="E79" s="80"/>
      <c r="F79" s="80"/>
      <c r="G79" s="80"/>
      <c r="H79" s="80">
        <f>(H74+H75+H76+H77+H78)/5</f>
        <v>4.9102564102564106</v>
      </c>
    </row>
    <row r="83" spans="1:8" x14ac:dyDescent="0.25">
      <c r="A83" s="120" t="s">
        <v>288</v>
      </c>
      <c r="B83" s="104"/>
      <c r="C83" s="104"/>
      <c r="D83" s="104"/>
      <c r="E83" s="104"/>
      <c r="F83" s="104"/>
      <c r="G83" s="104"/>
      <c r="H83" s="105"/>
    </row>
    <row r="84" spans="1:8" ht="15" x14ac:dyDescent="0.2">
      <c r="A84" s="107" t="s">
        <v>111</v>
      </c>
      <c r="B84" s="108">
        <v>1</v>
      </c>
      <c r="C84" s="108">
        <v>2</v>
      </c>
      <c r="D84" s="108" t="s">
        <v>204</v>
      </c>
    </row>
    <row r="85" spans="1:8" x14ac:dyDescent="0.25">
      <c r="A85" s="50" t="s">
        <v>290</v>
      </c>
      <c r="B85" s="111">
        <f>COUNTIF(Data!$AY$2:$AY$500,1)</f>
        <v>18</v>
      </c>
      <c r="C85" s="111">
        <f>COUNTIF(Data!$AY$2:$AY$500,2)</f>
        <v>1</v>
      </c>
      <c r="D85" s="111">
        <f>COUNTIF(Data!$AY$2:$AY$500,9)</f>
        <v>31</v>
      </c>
      <c r="H85" s="56"/>
    </row>
    <row r="86" spans="1:8" x14ac:dyDescent="0.25">
      <c r="A86" s="50" t="s">
        <v>292</v>
      </c>
      <c r="B86" s="111">
        <f>COUNTIF(Data!$AZ$2:$AZ$500,1)</f>
        <v>0</v>
      </c>
      <c r="C86" s="111">
        <f>COUNTIF(Data!$AZ$2:$AZ$500,2)</f>
        <v>13</v>
      </c>
      <c r="D86" s="111">
        <f>COUNTIF(Data!$AZ$2:$AZ$500,9)</f>
        <v>37</v>
      </c>
      <c r="H86" s="56"/>
    </row>
    <row r="87" spans="1:8" x14ac:dyDescent="0.25">
      <c r="A87" s="50" t="s">
        <v>294</v>
      </c>
      <c r="B87" s="111">
        <f>COUNTIF(Data!$BA$2:$BA$500,1)</f>
        <v>19</v>
      </c>
      <c r="C87" s="111">
        <f>COUNTIF(Data!$BA$2:$BA$500,2)</f>
        <v>1</v>
      </c>
      <c r="D87" s="111">
        <f>COUNTIF(Data!$BA$2:$BA$500,9)</f>
        <v>30</v>
      </c>
      <c r="H87" s="56"/>
    </row>
    <row r="88" spans="1:8" x14ac:dyDescent="0.25">
      <c r="A88" s="50" t="s">
        <v>295</v>
      </c>
      <c r="B88" s="111">
        <f>COUNTIF(Data!$BB$2:$BB$500,1)</f>
        <v>19</v>
      </c>
      <c r="C88" s="111">
        <f>COUNTIF(Data!$BB$2:$BB$500,2)</f>
        <v>0</v>
      </c>
      <c r="D88" s="111">
        <f>COUNTIF(Data!$BB$2:$BB$500,9)</f>
        <v>30</v>
      </c>
      <c r="H88" s="56"/>
    </row>
    <row r="90" spans="1:8" ht="42.75" x14ac:dyDescent="0.2">
      <c r="A90" s="107" t="s">
        <v>111</v>
      </c>
      <c r="B90" s="108">
        <v>1</v>
      </c>
      <c r="C90" s="108">
        <v>2</v>
      </c>
      <c r="D90" s="108">
        <v>3</v>
      </c>
      <c r="E90" s="108">
        <v>4</v>
      </c>
      <c r="F90" s="108">
        <v>5</v>
      </c>
      <c r="G90" s="108" t="s">
        <v>204</v>
      </c>
      <c r="H90" s="109" t="s">
        <v>58</v>
      </c>
    </row>
    <row r="91" spans="1:8" ht="30.75" x14ac:dyDescent="0.25">
      <c r="A91" s="50" t="s">
        <v>297</v>
      </c>
      <c r="B91" s="111">
        <f>COUNTIF(Data!$BC$2:$BC$500,1)</f>
        <v>0</v>
      </c>
      <c r="C91" s="111">
        <f>COUNTIF(Data!$BC$2:$BC$500,2)</f>
        <v>0</v>
      </c>
      <c r="D91" s="111">
        <f>COUNTIF(Data!$BC$2:$BC$500,3)</f>
        <v>0</v>
      </c>
      <c r="E91" s="111">
        <f>COUNTIF(Data!$BC$2:$BC$500,4)</f>
        <v>8</v>
      </c>
      <c r="F91" s="111">
        <f>COUNTIF(Data!$BC$2:$BC$500,5)</f>
        <v>12</v>
      </c>
      <c r="G91" s="111">
        <f>COUNTIF(Data!$BC$2:$BC$500,9)</f>
        <v>30</v>
      </c>
      <c r="H91" s="112">
        <f t="shared" ref="H91:H92" si="6">((B91*1)+(C91*2)+(D91*3)+(E91*4)+(F91*5))/SUM(B91:F91)</f>
        <v>4.5999999999999996</v>
      </c>
    </row>
    <row r="92" spans="1:8" ht="30.75" x14ac:dyDescent="0.25">
      <c r="A92" s="50" t="s">
        <v>298</v>
      </c>
      <c r="B92" s="111">
        <f>COUNTIF(Data!$BD$2:$BD$500,1)</f>
        <v>0</v>
      </c>
      <c r="C92" s="111">
        <f>COUNTIF(Data!$BD$2:$BD$500,2)</f>
        <v>0</v>
      </c>
      <c r="D92" s="111">
        <f>COUNTIF(Data!$BD$2:$BD$500,3)</f>
        <v>3</v>
      </c>
      <c r="E92" s="111">
        <f>COUNTIF(Data!$BD$2:$BD$500,4)</f>
        <v>6</v>
      </c>
      <c r="F92" s="111">
        <f>COUNTIF(Data!$BD$2:$BD$500,5)</f>
        <v>11</v>
      </c>
      <c r="G92" s="111">
        <f>COUNTIF(Data!$BD$2:$BD$500,9)</f>
        <v>30</v>
      </c>
      <c r="H92" s="112">
        <f t="shared" si="6"/>
        <v>4.4000000000000004</v>
      </c>
    </row>
    <row r="93" spans="1:8" x14ac:dyDescent="0.25">
      <c r="A93" s="116" t="s">
        <v>129</v>
      </c>
      <c r="B93" s="80"/>
      <c r="C93" s="80"/>
      <c r="D93" s="80"/>
      <c r="E93" s="80"/>
      <c r="F93" s="80"/>
      <c r="G93" s="80"/>
      <c r="H93" s="80">
        <f>(H91+H92)/2</f>
        <v>4.5</v>
      </c>
    </row>
    <row r="95" spans="1:8" ht="30" x14ac:dyDescent="0.2">
      <c r="A95" s="132" t="s">
        <v>299</v>
      </c>
      <c r="B95" s="108"/>
    </row>
    <row r="96" spans="1:8" x14ac:dyDescent="0.25">
      <c r="A96" s="50" t="s">
        <v>300</v>
      </c>
      <c r="B96" s="111">
        <f>SUM(Data!$BG$2:$BG$500,1)</f>
        <v>88</v>
      </c>
    </row>
    <row r="97" spans="1:2" ht="30.75" x14ac:dyDescent="0.25">
      <c r="A97" s="50" t="s">
        <v>301</v>
      </c>
      <c r="B97" s="111">
        <f>SUM(Data!$BH$2:$BH$500,1)</f>
        <v>1</v>
      </c>
    </row>
    <row r="98" spans="1:2" x14ac:dyDescent="0.25">
      <c r="A98" s="50" t="s">
        <v>302</v>
      </c>
      <c r="B98" s="111">
        <f>SUM(Data!$BI$2:$BI$500,1)</f>
        <v>212</v>
      </c>
    </row>
  </sheetData>
  <mergeCells count="2">
    <mergeCell ref="A43:C43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topLeftCell="A145" workbookViewId="0"/>
  </sheetViews>
  <sheetFormatPr defaultColWidth="14.42578125" defaultRowHeight="15.75" customHeight="1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I188"/>
  <sheetViews>
    <sheetView workbookViewId="0"/>
  </sheetViews>
  <sheetFormatPr defaultColWidth="14.42578125" defaultRowHeight="15.75" customHeight="1" x14ac:dyDescent="0.2"/>
  <sheetData>
    <row r="1" spans="1:113" ht="12.75" x14ac:dyDescent="0.2">
      <c r="A1" s="123" t="s">
        <v>216</v>
      </c>
      <c r="B1" s="124" t="s">
        <v>217</v>
      </c>
      <c r="C1" s="124" t="s">
        <v>218</v>
      </c>
      <c r="D1" s="124" t="s">
        <v>219</v>
      </c>
      <c r="E1" s="124" t="s">
        <v>220</v>
      </c>
      <c r="F1" s="124" t="s">
        <v>221</v>
      </c>
      <c r="G1" s="124" t="s">
        <v>30</v>
      </c>
      <c r="H1" s="124" t="s">
        <v>39</v>
      </c>
      <c r="I1" s="124" t="s">
        <v>222</v>
      </c>
      <c r="J1" s="124" t="s">
        <v>47</v>
      </c>
      <c r="K1" s="124" t="s">
        <v>60</v>
      </c>
      <c r="L1" s="124" t="s">
        <v>66</v>
      </c>
      <c r="M1" s="124" t="s">
        <v>223</v>
      </c>
      <c r="N1" s="124" t="s">
        <v>224</v>
      </c>
      <c r="O1" s="124" t="s">
        <v>225</v>
      </c>
      <c r="P1" s="124" t="s">
        <v>226</v>
      </c>
      <c r="Q1" s="124" t="s">
        <v>227</v>
      </c>
      <c r="R1" s="124" t="s">
        <v>228</v>
      </c>
      <c r="S1" s="124" t="s">
        <v>229</v>
      </c>
      <c r="T1" s="124" t="s">
        <v>230</v>
      </c>
      <c r="U1" s="124" t="s">
        <v>231</v>
      </c>
      <c r="V1" s="124" t="s">
        <v>232</v>
      </c>
      <c r="W1" s="124" t="s">
        <v>233</v>
      </c>
      <c r="X1" s="124" t="s">
        <v>234</v>
      </c>
      <c r="Y1" s="124" t="s">
        <v>235</v>
      </c>
      <c r="Z1" s="124" t="s">
        <v>236</v>
      </c>
      <c r="AA1" s="124" t="s">
        <v>237</v>
      </c>
      <c r="AB1" s="124" t="s">
        <v>238</v>
      </c>
      <c r="AC1" s="124" t="s">
        <v>239</v>
      </c>
      <c r="AD1" s="124" t="s">
        <v>240</v>
      </c>
      <c r="AE1" s="124" t="s">
        <v>242</v>
      </c>
      <c r="AF1" s="124" t="s">
        <v>243</v>
      </c>
      <c r="AG1" s="124" t="s">
        <v>244</v>
      </c>
      <c r="AH1" s="124" t="s">
        <v>245</v>
      </c>
      <c r="AI1" s="124" t="s">
        <v>246</v>
      </c>
      <c r="AJ1" s="124" t="s">
        <v>247</v>
      </c>
      <c r="AK1" s="124" t="s">
        <v>248</v>
      </c>
      <c r="AL1" s="124" t="s">
        <v>249</v>
      </c>
      <c r="AM1" s="124" t="s">
        <v>250</v>
      </c>
      <c r="AN1" s="124" t="s">
        <v>251</v>
      </c>
      <c r="AO1" s="124" t="s">
        <v>252</v>
      </c>
      <c r="AP1" s="124" t="s">
        <v>253</v>
      </c>
      <c r="AQ1" s="124" t="s">
        <v>254</v>
      </c>
      <c r="AR1" s="124" t="s">
        <v>255</v>
      </c>
      <c r="AS1" s="124" t="s">
        <v>256</v>
      </c>
      <c r="AT1" s="124" t="s">
        <v>257</v>
      </c>
      <c r="AU1" s="124" t="s">
        <v>258</v>
      </c>
      <c r="AV1" s="124" t="s">
        <v>260</v>
      </c>
      <c r="AW1" s="124" t="s">
        <v>261</v>
      </c>
      <c r="AX1" s="124" t="s">
        <v>262</v>
      </c>
      <c r="AY1" s="124" t="s">
        <v>263</v>
      </c>
      <c r="AZ1" s="124" t="s">
        <v>264</v>
      </c>
      <c r="BA1" s="124" t="s">
        <v>265</v>
      </c>
      <c r="BB1" s="124" t="s">
        <v>266</v>
      </c>
      <c r="BC1" s="124" t="s">
        <v>267</v>
      </c>
      <c r="BD1" s="124" t="s">
        <v>268</v>
      </c>
      <c r="BE1" s="124" t="s">
        <v>269</v>
      </c>
      <c r="BF1" s="124" t="s">
        <v>270</v>
      </c>
      <c r="BG1" s="124" t="s">
        <v>271</v>
      </c>
      <c r="BH1" s="124" t="s">
        <v>272</v>
      </c>
      <c r="BI1" s="124" t="s">
        <v>273</v>
      </c>
      <c r="BJ1" s="124" t="s">
        <v>274</v>
      </c>
      <c r="BK1" s="124" t="s">
        <v>275</v>
      </c>
      <c r="BL1" s="124" t="s">
        <v>276</v>
      </c>
      <c r="BM1" s="124" t="s">
        <v>277</v>
      </c>
      <c r="BN1" s="124" t="s">
        <v>278</v>
      </c>
      <c r="BO1" s="126" t="s">
        <v>279</v>
      </c>
      <c r="BP1" s="127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6"/>
      <c r="DD1" s="127"/>
      <c r="DE1" s="127"/>
      <c r="DF1" s="127"/>
      <c r="DG1" s="127"/>
      <c r="DH1" s="124"/>
      <c r="DI1" s="124"/>
    </row>
    <row r="2" spans="1:113" ht="12.75" x14ac:dyDescent="0.2">
      <c r="A2" s="128">
        <v>43587.49804554398</v>
      </c>
      <c r="B2" s="124" t="s">
        <v>280</v>
      </c>
      <c r="C2" s="124" t="s">
        <v>11</v>
      </c>
      <c r="D2" s="124" t="s">
        <v>19</v>
      </c>
      <c r="E2" s="124" t="s">
        <v>18</v>
      </c>
      <c r="F2" s="124" t="s">
        <v>25</v>
      </c>
      <c r="G2" s="124" t="s">
        <v>31</v>
      </c>
      <c r="H2" s="124" t="s">
        <v>40</v>
      </c>
      <c r="I2" s="124" t="s">
        <v>43</v>
      </c>
      <c r="J2" s="124" t="s">
        <v>52</v>
      </c>
      <c r="K2" s="124" t="s">
        <v>65</v>
      </c>
      <c r="L2" s="124" t="s">
        <v>65</v>
      </c>
      <c r="M2" s="129">
        <v>5</v>
      </c>
      <c r="N2" s="129">
        <v>5</v>
      </c>
      <c r="O2" s="129">
        <v>4</v>
      </c>
      <c r="P2" s="129">
        <v>5</v>
      </c>
      <c r="Q2" s="129">
        <v>5</v>
      </c>
      <c r="R2" s="129">
        <v>9</v>
      </c>
      <c r="S2" s="129">
        <v>5</v>
      </c>
      <c r="T2" s="129">
        <v>5</v>
      </c>
      <c r="U2" s="129">
        <v>5</v>
      </c>
      <c r="V2" s="129">
        <v>5</v>
      </c>
      <c r="W2" s="129">
        <v>5</v>
      </c>
      <c r="X2" s="129">
        <v>9</v>
      </c>
      <c r="Y2" s="129">
        <v>4</v>
      </c>
      <c r="Z2" s="129">
        <v>5</v>
      </c>
      <c r="AA2" s="129">
        <v>5</v>
      </c>
      <c r="AB2" s="129">
        <v>5</v>
      </c>
      <c r="AC2" s="129">
        <v>5</v>
      </c>
      <c r="AD2" s="129">
        <v>5</v>
      </c>
      <c r="AE2" s="129">
        <v>5</v>
      </c>
      <c r="AF2" s="129">
        <v>5</v>
      </c>
      <c r="AG2" s="129">
        <v>5</v>
      </c>
      <c r="AH2" s="129">
        <v>5</v>
      </c>
      <c r="AI2" s="124" t="s">
        <v>18</v>
      </c>
      <c r="AJ2" s="129">
        <v>5</v>
      </c>
      <c r="AK2" s="129">
        <v>5</v>
      </c>
      <c r="AL2" s="129">
        <v>1</v>
      </c>
      <c r="AM2" s="129">
        <v>5</v>
      </c>
      <c r="AN2" s="129">
        <v>5</v>
      </c>
      <c r="AO2" s="129">
        <v>5</v>
      </c>
      <c r="AP2" s="129">
        <v>5</v>
      </c>
      <c r="AQ2" s="129">
        <v>5</v>
      </c>
      <c r="AR2" s="129">
        <v>5</v>
      </c>
      <c r="AS2" s="129">
        <v>5</v>
      </c>
      <c r="AT2" s="129">
        <v>5</v>
      </c>
      <c r="AU2" s="129">
        <v>5</v>
      </c>
      <c r="AV2" s="129">
        <v>5</v>
      </c>
      <c r="AW2" s="129">
        <v>5</v>
      </c>
      <c r="AX2" s="129">
        <v>5</v>
      </c>
      <c r="AY2" s="129">
        <v>1</v>
      </c>
      <c r="AZ2" s="129">
        <v>2</v>
      </c>
      <c r="BA2" s="129">
        <v>2</v>
      </c>
      <c r="BB2" s="129">
        <v>1</v>
      </c>
      <c r="BC2" s="129">
        <v>5</v>
      </c>
      <c r="BD2" s="129">
        <v>5</v>
      </c>
      <c r="BE2" s="129">
        <v>2</v>
      </c>
      <c r="BF2" s="129">
        <v>0</v>
      </c>
      <c r="BG2" s="129">
        <v>2</v>
      </c>
      <c r="BH2" s="130" t="s">
        <v>281</v>
      </c>
      <c r="BI2" s="129">
        <v>1</v>
      </c>
      <c r="BJ2" s="130" t="s">
        <v>188</v>
      </c>
      <c r="BK2" s="124" t="s">
        <v>192</v>
      </c>
      <c r="BL2" s="124" t="s">
        <v>18</v>
      </c>
      <c r="BM2" s="124" t="s">
        <v>20</v>
      </c>
      <c r="BN2" s="129">
        <v>9</v>
      </c>
      <c r="BO2" s="124"/>
      <c r="BP2" s="124"/>
      <c r="BQ2" s="124"/>
      <c r="BR2" s="129"/>
      <c r="BS2" s="129"/>
      <c r="BT2" s="129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</row>
    <row r="3" spans="1:113" ht="13.5" customHeight="1" x14ac:dyDescent="0.2">
      <c r="A3" s="128">
        <v>43587.500261782407</v>
      </c>
      <c r="B3" s="124" t="s">
        <v>280</v>
      </c>
      <c r="C3" s="124" t="s">
        <v>9</v>
      </c>
      <c r="D3" s="124" t="s">
        <v>19</v>
      </c>
      <c r="E3" s="124" t="s">
        <v>20</v>
      </c>
      <c r="F3" s="124" t="s">
        <v>25</v>
      </c>
      <c r="G3" s="124" t="s">
        <v>31</v>
      </c>
      <c r="H3" s="124" t="s">
        <v>41</v>
      </c>
      <c r="I3" s="124" t="s">
        <v>282</v>
      </c>
      <c r="J3" s="124" t="s">
        <v>53</v>
      </c>
      <c r="K3" s="124" t="s">
        <v>65</v>
      </c>
      <c r="L3" s="124" t="s">
        <v>65</v>
      </c>
      <c r="M3" s="129">
        <v>5</v>
      </c>
      <c r="N3" s="129">
        <v>4</v>
      </c>
      <c r="O3" s="129">
        <v>3</v>
      </c>
      <c r="P3" s="129">
        <v>5</v>
      </c>
      <c r="Q3" s="129">
        <v>5</v>
      </c>
      <c r="R3" s="129">
        <v>5</v>
      </c>
      <c r="S3" s="129">
        <v>5</v>
      </c>
      <c r="T3" s="129">
        <v>5</v>
      </c>
      <c r="U3" s="129">
        <v>5</v>
      </c>
      <c r="V3" s="129">
        <v>5</v>
      </c>
      <c r="W3" s="129">
        <v>5</v>
      </c>
      <c r="X3" s="129">
        <v>2</v>
      </c>
      <c r="Y3" s="129">
        <v>5</v>
      </c>
      <c r="Z3" s="129">
        <v>5</v>
      </c>
      <c r="AA3" s="129">
        <v>5</v>
      </c>
      <c r="AB3" s="129">
        <v>5</v>
      </c>
      <c r="AC3" s="129">
        <v>5</v>
      </c>
      <c r="AD3" s="129">
        <v>5</v>
      </c>
      <c r="AE3" s="129">
        <v>5</v>
      </c>
      <c r="AF3" s="129">
        <v>5</v>
      </c>
      <c r="AG3" s="129">
        <v>5</v>
      </c>
      <c r="AH3" s="129">
        <v>5</v>
      </c>
      <c r="AI3" s="124" t="s">
        <v>20</v>
      </c>
      <c r="AJ3" s="129">
        <v>9</v>
      </c>
      <c r="AK3" s="129">
        <v>5</v>
      </c>
      <c r="AL3" s="129">
        <v>1</v>
      </c>
      <c r="AM3" s="129">
        <v>5</v>
      </c>
      <c r="AN3" s="129">
        <v>5</v>
      </c>
      <c r="AO3" s="129">
        <v>5</v>
      </c>
      <c r="AP3" s="129">
        <v>5</v>
      </c>
      <c r="AQ3" s="129">
        <v>5</v>
      </c>
      <c r="AR3" s="129">
        <v>5</v>
      </c>
      <c r="AS3" s="129">
        <v>5</v>
      </c>
      <c r="AT3" s="129">
        <v>5</v>
      </c>
      <c r="AU3" s="129">
        <v>5</v>
      </c>
      <c r="AV3" s="129">
        <v>5</v>
      </c>
      <c r="AW3" s="129">
        <v>5</v>
      </c>
      <c r="AX3" s="129">
        <v>5</v>
      </c>
      <c r="AY3" s="129">
        <v>9</v>
      </c>
      <c r="AZ3" s="129">
        <v>9</v>
      </c>
      <c r="BA3" s="129">
        <v>1</v>
      </c>
      <c r="BB3" s="129">
        <v>1</v>
      </c>
      <c r="BC3" s="129">
        <v>5</v>
      </c>
      <c r="BD3" s="129">
        <v>5</v>
      </c>
      <c r="BE3" s="129">
        <v>2</v>
      </c>
      <c r="BF3" s="124" t="s">
        <v>283</v>
      </c>
      <c r="BG3" s="129">
        <v>6</v>
      </c>
      <c r="BH3" s="130"/>
      <c r="BI3" s="129">
        <v>1</v>
      </c>
      <c r="BJ3" s="130" t="s">
        <v>190</v>
      </c>
      <c r="BK3" s="124" t="s">
        <v>193</v>
      </c>
      <c r="BL3" s="124" t="s">
        <v>20</v>
      </c>
      <c r="BM3" s="124" t="s">
        <v>283</v>
      </c>
      <c r="BN3" s="129">
        <v>9</v>
      </c>
      <c r="BO3" s="124"/>
      <c r="BP3" s="124"/>
      <c r="BQ3" s="124"/>
      <c r="BR3" s="129"/>
      <c r="BS3" s="129"/>
      <c r="BT3" s="129"/>
      <c r="BU3" s="124"/>
      <c r="BV3" s="124"/>
      <c r="BW3" s="124"/>
      <c r="BX3" s="124"/>
      <c r="BY3" s="124"/>
      <c r="BZ3" s="129">
        <v>5</v>
      </c>
      <c r="CA3" s="124">
        <f t="shared" ref="CA3:CA33" si="0">IF(BZ3=1,5,1)</f>
        <v>1</v>
      </c>
      <c r="CB3" s="129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</row>
    <row r="4" spans="1:113" ht="12.75" x14ac:dyDescent="0.2">
      <c r="A4" s="128">
        <v>43587.50465761574</v>
      </c>
      <c r="B4" s="124" t="s">
        <v>284</v>
      </c>
      <c r="C4" s="124" t="s">
        <v>11</v>
      </c>
      <c r="D4" s="124" t="s">
        <v>19</v>
      </c>
      <c r="E4" s="124" t="s">
        <v>18</v>
      </c>
      <c r="F4" s="124" t="s">
        <v>25</v>
      </c>
      <c r="G4" s="124" t="s">
        <v>32</v>
      </c>
      <c r="H4" s="126" t="s">
        <v>41</v>
      </c>
      <c r="I4" s="124"/>
      <c r="J4" s="124" t="s">
        <v>23</v>
      </c>
      <c r="K4" s="124" t="s">
        <v>285</v>
      </c>
      <c r="L4" s="124" t="s">
        <v>61</v>
      </c>
      <c r="M4" s="129">
        <v>5</v>
      </c>
      <c r="N4" s="129">
        <v>4</v>
      </c>
      <c r="O4" s="129">
        <v>2</v>
      </c>
      <c r="P4" s="129">
        <v>5</v>
      </c>
      <c r="Q4" s="129">
        <v>5</v>
      </c>
      <c r="R4" s="129">
        <v>5</v>
      </c>
      <c r="S4" s="129">
        <v>5</v>
      </c>
      <c r="T4" s="129">
        <v>5</v>
      </c>
      <c r="U4" s="129">
        <v>9</v>
      </c>
      <c r="V4" s="129">
        <v>9</v>
      </c>
      <c r="W4" s="129">
        <v>5</v>
      </c>
      <c r="X4" s="129">
        <v>4</v>
      </c>
      <c r="Y4" s="129">
        <v>5</v>
      </c>
      <c r="Z4" s="129">
        <v>5</v>
      </c>
      <c r="AA4" s="129">
        <v>5</v>
      </c>
      <c r="AB4" s="129">
        <v>5</v>
      </c>
      <c r="AC4" s="129">
        <v>5</v>
      </c>
      <c r="AD4" s="129">
        <v>5</v>
      </c>
      <c r="AE4" s="129">
        <v>5</v>
      </c>
      <c r="AF4" s="129">
        <v>5</v>
      </c>
      <c r="AG4" s="129">
        <v>5</v>
      </c>
      <c r="AH4" s="129">
        <v>5</v>
      </c>
      <c r="AI4" s="124" t="s">
        <v>20</v>
      </c>
      <c r="AJ4" s="129">
        <v>9</v>
      </c>
      <c r="AK4" s="129">
        <v>9</v>
      </c>
      <c r="AL4" s="131">
        <v>9</v>
      </c>
      <c r="AM4" s="129">
        <v>9</v>
      </c>
      <c r="AN4" s="129">
        <v>9</v>
      </c>
      <c r="AO4" s="129">
        <v>9</v>
      </c>
      <c r="AP4" s="129">
        <v>9</v>
      </c>
      <c r="AQ4" s="129">
        <v>9</v>
      </c>
      <c r="AR4" s="129">
        <v>9</v>
      </c>
      <c r="AS4" s="129">
        <v>9</v>
      </c>
      <c r="AT4" s="129">
        <v>9</v>
      </c>
      <c r="AU4" s="129">
        <v>9</v>
      </c>
      <c r="AV4" s="129">
        <v>9</v>
      </c>
      <c r="AW4" s="129">
        <v>9</v>
      </c>
      <c r="AX4" s="129">
        <v>9</v>
      </c>
      <c r="AY4" s="129">
        <v>9</v>
      </c>
      <c r="AZ4" s="129">
        <v>9</v>
      </c>
      <c r="BA4" s="129">
        <v>9</v>
      </c>
      <c r="BB4" s="129">
        <v>9</v>
      </c>
      <c r="BC4" s="129">
        <v>9</v>
      </c>
      <c r="BD4" s="129">
        <v>9</v>
      </c>
      <c r="BE4" s="124" t="s">
        <v>283</v>
      </c>
      <c r="BF4" s="124" t="s">
        <v>283</v>
      </c>
      <c r="BG4" s="129">
        <v>10</v>
      </c>
      <c r="BH4" s="124"/>
      <c r="BI4" s="129">
        <v>1</v>
      </c>
      <c r="BJ4" s="130" t="s">
        <v>190</v>
      </c>
      <c r="BK4" s="124" t="s">
        <v>194</v>
      </c>
      <c r="BL4" s="124" t="s">
        <v>18</v>
      </c>
      <c r="BM4" s="124" t="s">
        <v>20</v>
      </c>
      <c r="BN4" s="129">
        <v>9</v>
      </c>
      <c r="BO4" s="124"/>
      <c r="BP4" s="124"/>
      <c r="BQ4" s="124"/>
      <c r="BR4" s="129"/>
      <c r="BS4" s="129"/>
      <c r="BT4" s="129"/>
      <c r="BU4" s="124"/>
      <c r="BV4" s="124"/>
      <c r="BW4" s="124"/>
      <c r="BX4" s="124"/>
      <c r="BY4" s="124"/>
      <c r="BZ4" s="129">
        <v>1</v>
      </c>
      <c r="CA4" s="124">
        <f t="shared" si="0"/>
        <v>5</v>
      </c>
      <c r="CB4" s="129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</row>
    <row r="5" spans="1:113" ht="12.75" x14ac:dyDescent="0.2">
      <c r="A5" s="128">
        <v>43587.506984699074</v>
      </c>
      <c r="B5" s="124" t="s">
        <v>286</v>
      </c>
      <c r="C5" s="124" t="s">
        <v>11</v>
      </c>
      <c r="D5" s="124" t="s">
        <v>16</v>
      </c>
      <c r="E5" s="124" t="s">
        <v>20</v>
      </c>
      <c r="F5" s="124" t="s">
        <v>25</v>
      </c>
      <c r="G5" s="124" t="s">
        <v>29</v>
      </c>
      <c r="H5" s="126" t="s">
        <v>41</v>
      </c>
      <c r="I5" s="124"/>
      <c r="J5" s="124" t="s">
        <v>23</v>
      </c>
      <c r="K5" s="124" t="s">
        <v>285</v>
      </c>
      <c r="L5" s="124" t="s">
        <v>61</v>
      </c>
      <c r="M5" s="129">
        <v>4</v>
      </c>
      <c r="N5" s="129">
        <v>3</v>
      </c>
      <c r="O5" s="129">
        <v>3</v>
      </c>
      <c r="P5" s="129">
        <v>5</v>
      </c>
      <c r="Q5" s="129">
        <v>5</v>
      </c>
      <c r="R5" s="129">
        <v>4</v>
      </c>
      <c r="S5" s="129">
        <v>5</v>
      </c>
      <c r="T5" s="129">
        <v>4</v>
      </c>
      <c r="U5" s="129">
        <v>5</v>
      </c>
      <c r="V5" s="129">
        <v>5</v>
      </c>
      <c r="W5" s="129">
        <v>5</v>
      </c>
      <c r="X5" s="129">
        <v>3</v>
      </c>
      <c r="Y5" s="129">
        <v>4</v>
      </c>
      <c r="Z5" s="129">
        <v>5</v>
      </c>
      <c r="AA5" s="129">
        <v>5</v>
      </c>
      <c r="AB5" s="129">
        <v>4</v>
      </c>
      <c r="AC5" s="129">
        <v>5</v>
      </c>
      <c r="AD5" s="129">
        <v>5</v>
      </c>
      <c r="AE5" s="129">
        <v>5</v>
      </c>
      <c r="AF5" s="129">
        <v>5</v>
      </c>
      <c r="AG5" s="129">
        <v>5</v>
      </c>
      <c r="AH5" s="129">
        <v>5</v>
      </c>
      <c r="AI5" s="124" t="s">
        <v>20</v>
      </c>
      <c r="AJ5" s="129">
        <v>9</v>
      </c>
      <c r="AK5" s="129">
        <v>9</v>
      </c>
      <c r="AL5" s="131">
        <v>9</v>
      </c>
      <c r="AM5" s="129">
        <v>9</v>
      </c>
      <c r="AN5" s="129">
        <v>9</v>
      </c>
      <c r="AO5" s="129">
        <v>9</v>
      </c>
      <c r="AP5" s="129">
        <v>9</v>
      </c>
      <c r="AQ5" s="129">
        <v>9</v>
      </c>
      <c r="AR5" s="129">
        <v>9</v>
      </c>
      <c r="AS5" s="129">
        <v>9</v>
      </c>
      <c r="AT5" s="129">
        <v>9</v>
      </c>
      <c r="AU5" s="129">
        <v>9</v>
      </c>
      <c r="AV5" s="129">
        <v>9</v>
      </c>
      <c r="AW5" s="129">
        <v>9</v>
      </c>
      <c r="AX5" s="129">
        <v>9</v>
      </c>
      <c r="AY5" s="129">
        <v>9</v>
      </c>
      <c r="AZ5" s="129">
        <v>9</v>
      </c>
      <c r="BA5" s="129">
        <v>9</v>
      </c>
      <c r="BB5" s="129">
        <v>9</v>
      </c>
      <c r="BC5" s="129">
        <v>9</v>
      </c>
      <c r="BD5" s="129">
        <v>9</v>
      </c>
      <c r="BE5" s="124" t="s">
        <v>283</v>
      </c>
      <c r="BF5" s="124" t="s">
        <v>283</v>
      </c>
      <c r="BG5" s="124" t="s">
        <v>283</v>
      </c>
      <c r="BH5" s="124"/>
      <c r="BI5" s="129">
        <v>1</v>
      </c>
      <c r="BJ5" s="124" t="s">
        <v>188</v>
      </c>
      <c r="BK5" s="124" t="s">
        <v>283</v>
      </c>
      <c r="BL5" s="124" t="s">
        <v>18</v>
      </c>
      <c r="BM5" s="124" t="s">
        <v>20</v>
      </c>
      <c r="BN5" s="129">
        <v>9</v>
      </c>
      <c r="BO5" s="124"/>
      <c r="BP5" s="124"/>
      <c r="BQ5" s="124"/>
      <c r="BR5" s="129"/>
      <c r="BS5" s="129"/>
      <c r="BT5" s="129"/>
      <c r="BU5" s="124"/>
      <c r="BV5" s="124"/>
      <c r="BW5" s="124"/>
      <c r="BX5" s="124"/>
      <c r="BY5" s="124"/>
      <c r="BZ5" s="129">
        <v>1</v>
      </c>
      <c r="CA5" s="124">
        <f t="shared" si="0"/>
        <v>5</v>
      </c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</row>
    <row r="6" spans="1:113" ht="12.75" x14ac:dyDescent="0.2">
      <c r="A6" s="128">
        <v>43587.509321840276</v>
      </c>
      <c r="B6" s="124" t="s">
        <v>284</v>
      </c>
      <c r="C6" s="124" t="s">
        <v>11</v>
      </c>
      <c r="D6" s="124" t="s">
        <v>19</v>
      </c>
      <c r="E6" s="124" t="s">
        <v>18</v>
      </c>
      <c r="F6" s="124" t="s">
        <v>26</v>
      </c>
      <c r="G6" s="124" t="s">
        <v>31</v>
      </c>
      <c r="H6" s="124" t="s">
        <v>40</v>
      </c>
      <c r="I6" s="124" t="s">
        <v>43</v>
      </c>
      <c r="J6" s="124" t="s">
        <v>52</v>
      </c>
      <c r="K6" s="124" t="s">
        <v>65</v>
      </c>
      <c r="L6" s="124" t="s">
        <v>65</v>
      </c>
      <c r="M6" s="129">
        <v>5</v>
      </c>
      <c r="N6" s="129">
        <v>4</v>
      </c>
      <c r="O6" s="129">
        <v>4</v>
      </c>
      <c r="P6" s="129">
        <v>5</v>
      </c>
      <c r="Q6" s="129">
        <v>4</v>
      </c>
      <c r="R6" s="129">
        <v>5</v>
      </c>
      <c r="S6" s="129">
        <v>5</v>
      </c>
      <c r="T6" s="129">
        <v>5</v>
      </c>
      <c r="U6" s="129">
        <v>5</v>
      </c>
      <c r="V6" s="129">
        <v>5</v>
      </c>
      <c r="W6" s="129">
        <v>5</v>
      </c>
      <c r="X6" s="129">
        <v>9</v>
      </c>
      <c r="Y6" s="129">
        <v>5</v>
      </c>
      <c r="Z6" s="129">
        <v>5</v>
      </c>
      <c r="AA6" s="129">
        <v>5</v>
      </c>
      <c r="AB6" s="129">
        <v>5</v>
      </c>
      <c r="AC6" s="129">
        <v>4</v>
      </c>
      <c r="AD6" s="129">
        <v>5</v>
      </c>
      <c r="AE6" s="129">
        <v>5</v>
      </c>
      <c r="AF6" s="129">
        <v>5</v>
      </c>
      <c r="AG6" s="129">
        <v>5</v>
      </c>
      <c r="AH6" s="129">
        <v>5</v>
      </c>
      <c r="AI6" s="124" t="s">
        <v>18</v>
      </c>
      <c r="AJ6" s="129">
        <v>5</v>
      </c>
      <c r="AK6" s="129">
        <v>5</v>
      </c>
      <c r="AL6" s="131">
        <v>1</v>
      </c>
      <c r="AM6" s="129">
        <v>5</v>
      </c>
      <c r="AN6" s="129">
        <v>5</v>
      </c>
      <c r="AO6" s="129">
        <v>5</v>
      </c>
      <c r="AP6" s="129">
        <v>4</v>
      </c>
      <c r="AQ6" s="129">
        <v>5</v>
      </c>
      <c r="AR6" s="129">
        <v>5</v>
      </c>
      <c r="AS6" s="129">
        <v>5</v>
      </c>
      <c r="AT6" s="129">
        <v>5</v>
      </c>
      <c r="AU6" s="129">
        <v>5</v>
      </c>
      <c r="AV6" s="129">
        <v>5</v>
      </c>
      <c r="AW6" s="129">
        <v>5</v>
      </c>
      <c r="AX6" s="129">
        <v>5</v>
      </c>
      <c r="AY6" s="129">
        <v>1</v>
      </c>
      <c r="AZ6" s="129">
        <v>2</v>
      </c>
      <c r="BA6" s="129">
        <v>1</v>
      </c>
      <c r="BB6" s="129">
        <v>1</v>
      </c>
      <c r="BC6" s="129">
        <v>5</v>
      </c>
      <c r="BD6" s="129">
        <v>5</v>
      </c>
      <c r="BE6" s="129">
        <v>4</v>
      </c>
      <c r="BF6" s="124" t="s">
        <v>283</v>
      </c>
      <c r="BG6" s="129">
        <v>5</v>
      </c>
      <c r="BH6" s="124"/>
      <c r="BI6" s="129">
        <v>1</v>
      </c>
      <c r="BJ6" s="124" t="s">
        <v>188</v>
      </c>
      <c r="BK6" s="124" t="s">
        <v>192</v>
      </c>
      <c r="BL6" s="124" t="s">
        <v>18</v>
      </c>
      <c r="BM6" s="124" t="s">
        <v>20</v>
      </c>
      <c r="BN6" s="129">
        <v>9</v>
      </c>
      <c r="BO6" s="124"/>
      <c r="BP6" s="124"/>
      <c r="BQ6" s="124"/>
      <c r="BR6" s="129"/>
      <c r="BS6" s="129"/>
      <c r="BT6" s="129"/>
      <c r="BU6" s="124"/>
      <c r="BV6" s="124"/>
      <c r="BW6" s="124"/>
      <c r="BX6" s="124"/>
      <c r="BY6" s="124"/>
      <c r="BZ6" s="129">
        <v>1</v>
      </c>
      <c r="CA6" s="124">
        <f t="shared" si="0"/>
        <v>5</v>
      </c>
      <c r="CB6" s="129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</row>
    <row r="7" spans="1:113" ht="12.75" x14ac:dyDescent="0.2">
      <c r="A7" s="128">
        <v>43587.511645243052</v>
      </c>
      <c r="B7" s="124" t="s">
        <v>280</v>
      </c>
      <c r="C7" s="124" t="s">
        <v>9</v>
      </c>
      <c r="D7" s="124" t="s">
        <v>19</v>
      </c>
      <c r="E7" s="124" t="s">
        <v>18</v>
      </c>
      <c r="F7" s="124" t="s">
        <v>25</v>
      </c>
      <c r="G7" s="124" t="s">
        <v>32</v>
      </c>
      <c r="H7" s="124" t="s">
        <v>38</v>
      </c>
      <c r="I7" s="124" t="s">
        <v>43</v>
      </c>
      <c r="J7" s="124" t="s">
        <v>53</v>
      </c>
      <c r="K7" s="124" t="s">
        <v>287</v>
      </c>
      <c r="L7" s="124" t="s">
        <v>62</v>
      </c>
      <c r="M7" s="129">
        <v>5</v>
      </c>
      <c r="N7" s="129">
        <v>3</v>
      </c>
      <c r="O7" s="129">
        <v>3</v>
      </c>
      <c r="P7" s="129">
        <v>5</v>
      </c>
      <c r="Q7" s="129">
        <v>9</v>
      </c>
      <c r="R7" s="129">
        <v>5</v>
      </c>
      <c r="S7" s="129">
        <v>5</v>
      </c>
      <c r="T7" s="129">
        <v>5</v>
      </c>
      <c r="U7" s="129">
        <v>5</v>
      </c>
      <c r="V7" s="129">
        <v>5</v>
      </c>
      <c r="W7" s="129">
        <v>5</v>
      </c>
      <c r="X7" s="129">
        <v>4</v>
      </c>
      <c r="Y7" s="129">
        <v>5</v>
      </c>
      <c r="Z7" s="129">
        <v>5</v>
      </c>
      <c r="AA7" s="129">
        <v>5</v>
      </c>
      <c r="AB7" s="129">
        <v>4</v>
      </c>
      <c r="AC7" s="129">
        <v>5</v>
      </c>
      <c r="AD7" s="129">
        <v>5</v>
      </c>
      <c r="AE7" s="129">
        <v>5</v>
      </c>
      <c r="AF7" s="129">
        <v>5</v>
      </c>
      <c r="AG7" s="129">
        <v>5</v>
      </c>
      <c r="AH7" s="129">
        <v>5</v>
      </c>
      <c r="AI7" s="124" t="s">
        <v>18</v>
      </c>
      <c r="AJ7" s="129">
        <v>5</v>
      </c>
      <c r="AK7" s="129">
        <v>5</v>
      </c>
      <c r="AL7" s="131">
        <v>1</v>
      </c>
      <c r="AM7" s="129">
        <v>5</v>
      </c>
      <c r="AN7" s="129">
        <v>5</v>
      </c>
      <c r="AO7" s="129">
        <v>5</v>
      </c>
      <c r="AP7" s="129">
        <v>5</v>
      </c>
      <c r="AQ7" s="129">
        <v>5</v>
      </c>
      <c r="AR7" s="129">
        <v>5</v>
      </c>
      <c r="AS7" s="129">
        <v>5</v>
      </c>
      <c r="AT7" s="129">
        <v>5</v>
      </c>
      <c r="AU7" s="129">
        <v>5</v>
      </c>
      <c r="AV7" s="129">
        <v>5</v>
      </c>
      <c r="AW7" s="129">
        <v>5</v>
      </c>
      <c r="AX7" s="129">
        <v>5</v>
      </c>
      <c r="AY7" s="129">
        <v>1</v>
      </c>
      <c r="AZ7" s="129">
        <v>2</v>
      </c>
      <c r="BA7" s="129">
        <v>1</v>
      </c>
      <c r="BB7" s="129">
        <v>1</v>
      </c>
      <c r="BC7" s="129">
        <v>4</v>
      </c>
      <c r="BD7" s="129">
        <v>5</v>
      </c>
      <c r="BE7" s="129">
        <v>3</v>
      </c>
      <c r="BF7" s="124" t="s">
        <v>283</v>
      </c>
      <c r="BG7" s="129">
        <v>2</v>
      </c>
      <c r="BH7" s="124"/>
      <c r="BI7" s="129">
        <v>9</v>
      </c>
      <c r="BJ7" s="124" t="s">
        <v>188</v>
      </c>
      <c r="BK7" s="124" t="s">
        <v>283</v>
      </c>
      <c r="BL7" s="124" t="s">
        <v>18</v>
      </c>
      <c r="BM7" s="124" t="s">
        <v>20</v>
      </c>
      <c r="BN7" s="129">
        <v>9</v>
      </c>
      <c r="BO7" s="124"/>
      <c r="BP7" s="124"/>
      <c r="BQ7" s="124"/>
      <c r="BR7" s="129"/>
      <c r="BS7" s="129"/>
      <c r="BT7" s="129"/>
      <c r="BU7" s="124"/>
      <c r="BV7" s="124"/>
      <c r="BW7" s="124"/>
      <c r="BX7" s="124"/>
      <c r="BY7" s="124"/>
      <c r="BZ7" s="129">
        <v>1</v>
      </c>
      <c r="CA7" s="124">
        <f t="shared" si="0"/>
        <v>5</v>
      </c>
      <c r="CB7" s="129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</row>
    <row r="8" spans="1:113" ht="13.5" customHeight="1" x14ac:dyDescent="0.2">
      <c r="A8" s="128">
        <v>43587.513836377315</v>
      </c>
      <c r="B8" s="124" t="s">
        <v>284</v>
      </c>
      <c r="C8" s="124" t="s">
        <v>9</v>
      </c>
      <c r="D8" s="124" t="s">
        <v>16</v>
      </c>
      <c r="E8" s="124" t="s">
        <v>20</v>
      </c>
      <c r="F8" s="124" t="s">
        <v>26</v>
      </c>
      <c r="G8" s="124" t="s">
        <v>29</v>
      </c>
      <c r="H8" s="124" t="s">
        <v>38</v>
      </c>
      <c r="I8" s="124" t="s">
        <v>43</v>
      </c>
      <c r="J8" s="124" t="s">
        <v>52</v>
      </c>
      <c r="K8" s="124" t="s">
        <v>64</v>
      </c>
      <c r="L8" s="124" t="s">
        <v>62</v>
      </c>
      <c r="M8" s="129">
        <v>4</v>
      </c>
      <c r="N8" s="129">
        <v>3</v>
      </c>
      <c r="O8" s="129">
        <v>2</v>
      </c>
      <c r="P8" s="129">
        <v>5</v>
      </c>
      <c r="Q8" s="129">
        <v>5</v>
      </c>
      <c r="R8" s="129">
        <v>9</v>
      </c>
      <c r="S8" s="129">
        <v>5</v>
      </c>
      <c r="T8" s="129">
        <v>5</v>
      </c>
      <c r="U8" s="129">
        <v>4</v>
      </c>
      <c r="V8" s="129">
        <v>5</v>
      </c>
      <c r="W8" s="129">
        <v>5</v>
      </c>
      <c r="X8" s="129">
        <v>2</v>
      </c>
      <c r="Y8" s="129">
        <v>5</v>
      </c>
      <c r="Z8" s="129">
        <v>5</v>
      </c>
      <c r="AA8" s="129">
        <v>5</v>
      </c>
      <c r="AB8" s="129">
        <v>5</v>
      </c>
      <c r="AC8" s="129">
        <v>5</v>
      </c>
      <c r="AD8" s="129">
        <v>5</v>
      </c>
      <c r="AE8" s="129">
        <v>5</v>
      </c>
      <c r="AF8" s="129">
        <v>4</v>
      </c>
      <c r="AG8" s="129">
        <v>5</v>
      </c>
      <c r="AH8" s="129">
        <v>5</v>
      </c>
      <c r="AI8" s="124" t="s">
        <v>20</v>
      </c>
      <c r="AJ8" s="129">
        <v>9</v>
      </c>
      <c r="AK8" s="129">
        <v>4</v>
      </c>
      <c r="AL8" s="131">
        <v>1</v>
      </c>
      <c r="AM8" s="129">
        <v>5</v>
      </c>
      <c r="AN8" s="129">
        <v>5</v>
      </c>
      <c r="AO8" s="129">
        <v>5</v>
      </c>
      <c r="AP8" s="129">
        <v>4</v>
      </c>
      <c r="AQ8" s="129">
        <v>5</v>
      </c>
      <c r="AR8" s="129">
        <v>4</v>
      </c>
      <c r="AS8" s="129">
        <v>5</v>
      </c>
      <c r="AT8" s="129">
        <v>5</v>
      </c>
      <c r="AU8" s="129">
        <v>5</v>
      </c>
      <c r="AV8" s="129">
        <v>4</v>
      </c>
      <c r="AW8" s="129">
        <v>5</v>
      </c>
      <c r="AX8" s="129">
        <v>5</v>
      </c>
      <c r="AY8" s="129">
        <v>2</v>
      </c>
      <c r="AZ8" s="129">
        <v>2</v>
      </c>
      <c r="BA8" s="129">
        <v>1</v>
      </c>
      <c r="BB8" s="129">
        <v>1</v>
      </c>
      <c r="BC8" s="129">
        <v>4</v>
      </c>
      <c r="BD8" s="129">
        <v>4</v>
      </c>
      <c r="BE8" s="129">
        <v>2</v>
      </c>
      <c r="BF8" s="129">
        <v>0</v>
      </c>
      <c r="BG8" s="129">
        <v>3</v>
      </c>
      <c r="BH8" s="124"/>
      <c r="BI8" s="129">
        <v>9</v>
      </c>
      <c r="BJ8" s="124" t="s">
        <v>188</v>
      </c>
      <c r="BK8" s="124" t="s">
        <v>192</v>
      </c>
      <c r="BL8" s="124" t="s">
        <v>18</v>
      </c>
      <c r="BM8" s="124" t="s">
        <v>20</v>
      </c>
      <c r="BN8" s="129">
        <v>9</v>
      </c>
      <c r="BO8" s="124"/>
      <c r="BP8" s="124"/>
      <c r="BQ8" s="124"/>
      <c r="BR8" s="129"/>
      <c r="BS8" s="129"/>
      <c r="BT8" s="129"/>
      <c r="BU8" s="124"/>
      <c r="BV8" s="124"/>
      <c r="BW8" s="124"/>
      <c r="BX8" s="124"/>
      <c r="BY8" s="124"/>
      <c r="BZ8" s="129">
        <v>1</v>
      </c>
      <c r="CA8" s="124">
        <f t="shared" si="0"/>
        <v>5</v>
      </c>
      <c r="CB8" s="129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</row>
    <row r="9" spans="1:113" ht="12.75" x14ac:dyDescent="0.2">
      <c r="A9" s="128">
        <v>43587.515783622686</v>
      </c>
      <c r="B9" s="124" t="s">
        <v>286</v>
      </c>
      <c r="C9" s="124" t="s">
        <v>11</v>
      </c>
      <c r="D9" s="124" t="s">
        <v>16</v>
      </c>
      <c r="E9" s="124" t="s">
        <v>20</v>
      </c>
      <c r="F9" s="124" t="s">
        <v>25</v>
      </c>
      <c r="G9" s="124" t="s">
        <v>29</v>
      </c>
      <c r="H9" s="126" t="s">
        <v>41</v>
      </c>
      <c r="I9" s="124"/>
      <c r="J9" s="124" t="s">
        <v>23</v>
      </c>
      <c r="K9" s="124" t="s">
        <v>285</v>
      </c>
      <c r="L9" s="124" t="s">
        <v>61</v>
      </c>
      <c r="M9" s="129">
        <v>4</v>
      </c>
      <c r="N9" s="129">
        <v>3</v>
      </c>
      <c r="O9" s="129">
        <v>3</v>
      </c>
      <c r="P9" s="129">
        <v>5</v>
      </c>
      <c r="Q9" s="129">
        <v>5</v>
      </c>
      <c r="R9" s="129">
        <v>9</v>
      </c>
      <c r="S9" s="129">
        <v>5</v>
      </c>
      <c r="T9" s="129">
        <v>5</v>
      </c>
      <c r="U9" s="129">
        <v>5</v>
      </c>
      <c r="V9" s="129">
        <v>5</v>
      </c>
      <c r="W9" s="129">
        <v>5</v>
      </c>
      <c r="X9" s="129">
        <v>3</v>
      </c>
      <c r="Y9" s="129">
        <v>5</v>
      </c>
      <c r="Z9" s="129">
        <v>4</v>
      </c>
      <c r="AA9" s="129">
        <v>5</v>
      </c>
      <c r="AB9" s="129">
        <v>5</v>
      </c>
      <c r="AC9" s="129">
        <v>5</v>
      </c>
      <c r="AD9" s="129">
        <v>5</v>
      </c>
      <c r="AE9" s="129">
        <v>5</v>
      </c>
      <c r="AF9" s="129">
        <v>5</v>
      </c>
      <c r="AG9" s="129">
        <v>5</v>
      </c>
      <c r="AH9" s="129">
        <v>5</v>
      </c>
      <c r="AI9" s="124" t="s">
        <v>18</v>
      </c>
      <c r="AJ9" s="129">
        <v>4</v>
      </c>
      <c r="AK9" s="129">
        <v>9</v>
      </c>
      <c r="AL9" s="129">
        <v>9</v>
      </c>
      <c r="AM9" s="129">
        <v>9</v>
      </c>
      <c r="AN9" s="129">
        <v>9</v>
      </c>
      <c r="AO9" s="129">
        <v>9</v>
      </c>
      <c r="AP9" s="129">
        <v>9</v>
      </c>
      <c r="AQ9" s="129">
        <v>9</v>
      </c>
      <c r="AR9" s="129">
        <v>9</v>
      </c>
      <c r="AS9" s="129">
        <v>9</v>
      </c>
      <c r="AT9" s="129">
        <v>9</v>
      </c>
      <c r="AU9" s="129">
        <v>9</v>
      </c>
      <c r="AV9" s="129">
        <v>9</v>
      </c>
      <c r="AW9" s="129">
        <v>9</v>
      </c>
      <c r="AX9" s="129">
        <v>9</v>
      </c>
      <c r="AY9" s="129">
        <v>9</v>
      </c>
      <c r="AZ9" s="129">
        <v>9</v>
      </c>
      <c r="BA9" s="129">
        <v>9</v>
      </c>
      <c r="BB9" s="129">
        <v>9</v>
      </c>
      <c r="BC9" s="129">
        <v>9</v>
      </c>
      <c r="BD9" s="129">
        <v>9</v>
      </c>
      <c r="BE9" s="124" t="s">
        <v>283</v>
      </c>
      <c r="BF9" s="124" t="s">
        <v>283</v>
      </c>
      <c r="BG9" s="124" t="s">
        <v>283</v>
      </c>
      <c r="BH9" s="124"/>
      <c r="BI9" s="129">
        <v>9</v>
      </c>
      <c r="BJ9" s="124" t="s">
        <v>188</v>
      </c>
      <c r="BK9" s="124" t="s">
        <v>283</v>
      </c>
      <c r="BL9" s="124" t="s">
        <v>18</v>
      </c>
      <c r="BM9" s="124" t="s">
        <v>20</v>
      </c>
      <c r="BN9" s="129">
        <v>9</v>
      </c>
      <c r="BO9" s="124"/>
      <c r="BP9" s="124"/>
      <c r="BQ9" s="124"/>
      <c r="BR9" s="129"/>
      <c r="BS9" s="129"/>
      <c r="BT9" s="129"/>
      <c r="BU9" s="124"/>
      <c r="BV9" s="124"/>
      <c r="BW9" s="124"/>
      <c r="BX9" s="124"/>
      <c r="BY9" s="124"/>
      <c r="BZ9" s="129">
        <v>1</v>
      </c>
      <c r="CA9" s="124">
        <f t="shared" si="0"/>
        <v>5</v>
      </c>
      <c r="CB9" s="129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</row>
    <row r="10" spans="1:113" ht="12.75" x14ac:dyDescent="0.2">
      <c r="A10" s="128">
        <v>43587.518356863424</v>
      </c>
      <c r="B10" s="124" t="s">
        <v>280</v>
      </c>
      <c r="C10" s="124" t="s">
        <v>9</v>
      </c>
      <c r="D10" s="124" t="s">
        <v>19</v>
      </c>
      <c r="E10" s="124" t="s">
        <v>18</v>
      </c>
      <c r="F10" s="124" t="s">
        <v>25</v>
      </c>
      <c r="G10" s="124" t="s">
        <v>32</v>
      </c>
      <c r="H10" s="124" t="s">
        <v>38</v>
      </c>
      <c r="I10" s="124" t="s">
        <v>46</v>
      </c>
      <c r="J10" s="124" t="s">
        <v>53</v>
      </c>
      <c r="K10" s="124" t="s">
        <v>64</v>
      </c>
      <c r="L10" s="124" t="s">
        <v>64</v>
      </c>
      <c r="M10" s="129">
        <v>5</v>
      </c>
      <c r="N10" s="129">
        <v>4</v>
      </c>
      <c r="O10" s="129">
        <v>4</v>
      </c>
      <c r="P10" s="129">
        <v>5</v>
      </c>
      <c r="Q10" s="129">
        <v>9</v>
      </c>
      <c r="R10" s="129">
        <v>5</v>
      </c>
      <c r="S10" s="129">
        <v>5</v>
      </c>
      <c r="T10" s="129">
        <v>5</v>
      </c>
      <c r="U10" s="129">
        <v>5</v>
      </c>
      <c r="V10" s="129">
        <v>5</v>
      </c>
      <c r="W10" s="129">
        <v>5</v>
      </c>
      <c r="X10" s="129">
        <v>5</v>
      </c>
      <c r="Y10" s="129">
        <v>5</v>
      </c>
      <c r="Z10" s="129">
        <v>5</v>
      </c>
      <c r="AA10" s="129">
        <v>5</v>
      </c>
      <c r="AB10" s="129">
        <v>4</v>
      </c>
      <c r="AC10" s="129">
        <v>5</v>
      </c>
      <c r="AD10" s="129">
        <v>5</v>
      </c>
      <c r="AE10" s="129">
        <v>5</v>
      </c>
      <c r="AF10" s="129">
        <v>5</v>
      </c>
      <c r="AG10" s="129">
        <v>5</v>
      </c>
      <c r="AH10" s="129">
        <v>5</v>
      </c>
      <c r="AI10" s="124" t="s">
        <v>18</v>
      </c>
      <c r="AJ10" s="129">
        <v>5</v>
      </c>
      <c r="AK10" s="129">
        <v>4</v>
      </c>
      <c r="AL10" s="129">
        <v>1</v>
      </c>
      <c r="AM10" s="129">
        <v>5</v>
      </c>
      <c r="AN10" s="129">
        <v>4</v>
      </c>
      <c r="AO10" s="129">
        <v>4</v>
      </c>
      <c r="AP10" s="129">
        <v>4</v>
      </c>
      <c r="AQ10" s="129">
        <v>5</v>
      </c>
      <c r="AR10" s="129">
        <v>4</v>
      </c>
      <c r="AS10" s="129">
        <v>5</v>
      </c>
      <c r="AT10" s="129">
        <v>5</v>
      </c>
      <c r="AU10" s="129">
        <v>5</v>
      </c>
      <c r="AV10" s="129">
        <v>4</v>
      </c>
      <c r="AW10" s="129">
        <v>5</v>
      </c>
      <c r="AX10" s="129">
        <v>5</v>
      </c>
      <c r="AY10" s="129">
        <v>1</v>
      </c>
      <c r="AZ10" s="129">
        <v>2</v>
      </c>
      <c r="BA10" s="129">
        <v>1</v>
      </c>
      <c r="BB10" s="129">
        <v>1</v>
      </c>
      <c r="BC10" s="129">
        <v>5</v>
      </c>
      <c r="BD10" s="129">
        <v>4</v>
      </c>
      <c r="BE10" s="129">
        <v>3</v>
      </c>
      <c r="BF10" s="124" t="s">
        <v>283</v>
      </c>
      <c r="BG10" s="129">
        <v>5</v>
      </c>
      <c r="BH10" s="124" t="s">
        <v>289</v>
      </c>
      <c r="BI10" s="129">
        <v>9</v>
      </c>
      <c r="BJ10" s="124" t="s">
        <v>188</v>
      </c>
      <c r="BK10" s="124" t="s">
        <v>192</v>
      </c>
      <c r="BL10" s="124" t="s">
        <v>18</v>
      </c>
      <c r="BM10" s="124" t="s">
        <v>20</v>
      </c>
      <c r="BN10" s="129">
        <v>9</v>
      </c>
      <c r="BO10" s="124"/>
      <c r="BP10" s="124"/>
      <c r="BQ10" s="124"/>
      <c r="BR10" s="129"/>
      <c r="BS10" s="129"/>
      <c r="BT10" s="129"/>
      <c r="BU10" s="124"/>
      <c r="BV10" s="124"/>
      <c r="BW10" s="124"/>
      <c r="BX10" s="124"/>
      <c r="BY10" s="124"/>
      <c r="BZ10" s="129">
        <v>1</v>
      </c>
      <c r="CA10" s="124">
        <f t="shared" si="0"/>
        <v>5</v>
      </c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</row>
    <row r="11" spans="1:113" ht="12.75" x14ac:dyDescent="0.2">
      <c r="A11" s="128">
        <v>43587.520775208337</v>
      </c>
      <c r="B11" s="124" t="s">
        <v>284</v>
      </c>
      <c r="C11" s="124" t="s">
        <v>11</v>
      </c>
      <c r="D11" s="124" t="s">
        <v>19</v>
      </c>
      <c r="E11" s="124" t="s">
        <v>20</v>
      </c>
      <c r="F11" s="124" t="s">
        <v>25</v>
      </c>
      <c r="G11" s="124" t="s">
        <v>32</v>
      </c>
      <c r="H11" s="124" t="s">
        <v>40</v>
      </c>
      <c r="I11" s="124" t="s">
        <v>43</v>
      </c>
      <c r="J11" s="124" t="s">
        <v>52</v>
      </c>
      <c r="K11" s="124" t="s">
        <v>65</v>
      </c>
      <c r="L11" s="124" t="s">
        <v>65</v>
      </c>
      <c r="M11" s="129">
        <v>5</v>
      </c>
      <c r="N11" s="129">
        <v>4</v>
      </c>
      <c r="O11" s="129">
        <v>3</v>
      </c>
      <c r="P11" s="129">
        <v>5</v>
      </c>
      <c r="Q11" s="129">
        <v>5</v>
      </c>
      <c r="R11" s="129">
        <v>5</v>
      </c>
      <c r="S11" s="129">
        <v>5</v>
      </c>
      <c r="T11" s="129">
        <v>4</v>
      </c>
      <c r="U11" s="129">
        <v>5</v>
      </c>
      <c r="V11" s="129">
        <v>5</v>
      </c>
      <c r="W11" s="129">
        <v>5</v>
      </c>
      <c r="X11" s="129">
        <v>5</v>
      </c>
      <c r="Y11" s="129">
        <v>5</v>
      </c>
      <c r="Z11" s="129">
        <v>5</v>
      </c>
      <c r="AA11" s="129">
        <v>5</v>
      </c>
      <c r="AB11" s="129">
        <v>5</v>
      </c>
      <c r="AC11" s="129">
        <v>5</v>
      </c>
      <c r="AD11" s="129">
        <v>5</v>
      </c>
      <c r="AE11" s="129">
        <v>5</v>
      </c>
      <c r="AF11" s="129">
        <v>5</v>
      </c>
      <c r="AG11" s="129">
        <v>5</v>
      </c>
      <c r="AH11" s="129">
        <v>5</v>
      </c>
      <c r="AI11" s="124" t="s">
        <v>20</v>
      </c>
      <c r="AJ11" s="129">
        <v>9</v>
      </c>
      <c r="AK11" s="129">
        <v>5</v>
      </c>
      <c r="AL11" s="129">
        <v>1</v>
      </c>
      <c r="AM11" s="129">
        <v>5</v>
      </c>
      <c r="AN11" s="129">
        <v>5</v>
      </c>
      <c r="AO11" s="129">
        <v>5</v>
      </c>
      <c r="AP11" s="129">
        <v>3</v>
      </c>
      <c r="AQ11" s="129">
        <v>3</v>
      </c>
      <c r="AR11" s="129">
        <v>3</v>
      </c>
      <c r="AS11" s="129">
        <v>3</v>
      </c>
      <c r="AT11" s="129">
        <v>5</v>
      </c>
      <c r="AU11" s="129">
        <v>5</v>
      </c>
      <c r="AV11" s="129">
        <v>5</v>
      </c>
      <c r="AW11" s="129">
        <v>5</v>
      </c>
      <c r="AX11" s="129">
        <v>5</v>
      </c>
      <c r="AY11" s="129">
        <v>1</v>
      </c>
      <c r="AZ11" s="129">
        <v>2</v>
      </c>
      <c r="BA11" s="129">
        <v>1</v>
      </c>
      <c r="BB11" s="124" t="s">
        <v>291</v>
      </c>
      <c r="BC11" s="129">
        <v>5</v>
      </c>
      <c r="BD11" s="129">
        <v>5</v>
      </c>
      <c r="BE11" s="124" t="s">
        <v>283</v>
      </c>
      <c r="BF11" s="129">
        <v>0</v>
      </c>
      <c r="BG11" s="129">
        <v>3</v>
      </c>
      <c r="BH11" s="124"/>
      <c r="BI11" s="129">
        <v>2</v>
      </c>
      <c r="BJ11" s="124" t="s">
        <v>190</v>
      </c>
      <c r="BK11" s="124" t="s">
        <v>195</v>
      </c>
      <c r="BL11" s="124" t="s">
        <v>18</v>
      </c>
      <c r="BM11" s="124" t="s">
        <v>20</v>
      </c>
      <c r="BN11" s="129">
        <v>9</v>
      </c>
      <c r="BO11" s="124"/>
      <c r="BP11" s="124"/>
      <c r="BQ11" s="124"/>
      <c r="BR11" s="129"/>
      <c r="BS11" s="129"/>
      <c r="BT11" s="129"/>
      <c r="BU11" s="124"/>
      <c r="BV11" s="124"/>
      <c r="BW11" s="124"/>
      <c r="BX11" s="124"/>
      <c r="BY11" s="124"/>
      <c r="BZ11" s="129">
        <v>1</v>
      </c>
      <c r="CA11" s="124">
        <f t="shared" si="0"/>
        <v>5</v>
      </c>
      <c r="CB11" s="129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</row>
    <row r="12" spans="1:113" ht="12.75" x14ac:dyDescent="0.2">
      <c r="A12" s="128">
        <v>43587.523091655094</v>
      </c>
      <c r="B12" s="124" t="s">
        <v>280</v>
      </c>
      <c r="C12" s="124" t="s">
        <v>9</v>
      </c>
      <c r="D12" s="124" t="s">
        <v>19</v>
      </c>
      <c r="E12" s="124" t="s">
        <v>18</v>
      </c>
      <c r="F12" s="124" t="s">
        <v>25</v>
      </c>
      <c r="G12" s="124" t="s">
        <v>293</v>
      </c>
      <c r="H12" s="124" t="s">
        <v>40</v>
      </c>
      <c r="I12" s="124" t="s">
        <v>43</v>
      </c>
      <c r="J12" s="124" t="s">
        <v>53</v>
      </c>
      <c r="K12" s="124" t="s">
        <v>64</v>
      </c>
      <c r="L12" s="124" t="s">
        <v>64</v>
      </c>
      <c r="M12" s="129">
        <v>5</v>
      </c>
      <c r="N12" s="129">
        <v>4</v>
      </c>
      <c r="O12" s="129">
        <v>3</v>
      </c>
      <c r="P12" s="129">
        <v>5</v>
      </c>
      <c r="Q12" s="129">
        <v>5</v>
      </c>
      <c r="R12" s="129">
        <v>9</v>
      </c>
      <c r="S12" s="129">
        <v>5</v>
      </c>
      <c r="T12" s="129">
        <v>5</v>
      </c>
      <c r="U12" s="129">
        <v>5</v>
      </c>
      <c r="V12" s="129">
        <v>5</v>
      </c>
      <c r="W12" s="129">
        <v>5</v>
      </c>
      <c r="X12" s="129">
        <v>9</v>
      </c>
      <c r="Y12" s="129">
        <v>5</v>
      </c>
      <c r="Z12" s="129">
        <v>5</v>
      </c>
      <c r="AA12" s="129">
        <v>5</v>
      </c>
      <c r="AB12" s="129">
        <v>5</v>
      </c>
      <c r="AC12" s="129">
        <v>5</v>
      </c>
      <c r="AD12" s="129">
        <v>5</v>
      </c>
      <c r="AE12" s="129">
        <v>5</v>
      </c>
      <c r="AF12" s="129">
        <v>5</v>
      </c>
      <c r="AG12" s="129">
        <v>5</v>
      </c>
      <c r="AH12" s="129">
        <v>5</v>
      </c>
      <c r="AI12" s="124" t="s">
        <v>18</v>
      </c>
      <c r="AJ12" s="129">
        <v>5</v>
      </c>
      <c r="AK12" s="129">
        <v>5</v>
      </c>
      <c r="AL12" s="129">
        <v>1</v>
      </c>
      <c r="AM12" s="129">
        <v>5</v>
      </c>
      <c r="AN12" s="129">
        <v>5</v>
      </c>
      <c r="AO12" s="129">
        <v>5</v>
      </c>
      <c r="AP12" s="129">
        <v>5</v>
      </c>
      <c r="AQ12" s="129">
        <v>5</v>
      </c>
      <c r="AR12" s="129">
        <v>5</v>
      </c>
      <c r="AS12" s="129">
        <v>5</v>
      </c>
      <c r="AT12" s="129">
        <v>5</v>
      </c>
      <c r="AU12" s="129">
        <v>5</v>
      </c>
      <c r="AV12" s="129">
        <v>5</v>
      </c>
      <c r="AW12" s="129">
        <v>5</v>
      </c>
      <c r="AX12" s="129">
        <v>5</v>
      </c>
      <c r="AY12" s="129">
        <v>1</v>
      </c>
      <c r="AZ12" s="129">
        <v>2</v>
      </c>
      <c r="BA12" s="129">
        <v>1</v>
      </c>
      <c r="BB12" s="129">
        <v>1</v>
      </c>
      <c r="BC12" s="129">
        <v>5</v>
      </c>
      <c r="BD12" s="129">
        <v>5</v>
      </c>
      <c r="BE12" s="129">
        <v>2</v>
      </c>
      <c r="BF12" s="124" t="s">
        <v>283</v>
      </c>
      <c r="BG12" s="124" t="s">
        <v>283</v>
      </c>
      <c r="BH12" s="124"/>
      <c r="BI12" s="129">
        <v>1</v>
      </c>
      <c r="BJ12" s="124" t="s">
        <v>188</v>
      </c>
      <c r="BK12" s="124" t="s">
        <v>192</v>
      </c>
      <c r="BL12" s="124" t="s">
        <v>18</v>
      </c>
      <c r="BM12" s="124" t="s">
        <v>20</v>
      </c>
      <c r="BN12" s="129">
        <v>9</v>
      </c>
      <c r="BO12" s="124"/>
      <c r="BP12" s="124"/>
      <c r="BQ12" s="124"/>
      <c r="BR12" s="129"/>
      <c r="BS12" s="129"/>
      <c r="BT12" s="129"/>
      <c r="BU12" s="124"/>
      <c r="BV12" s="124"/>
      <c r="BW12" s="124"/>
      <c r="BX12" s="124"/>
      <c r="BY12" s="124"/>
      <c r="BZ12" s="129">
        <v>1</v>
      </c>
      <c r="CA12" s="124">
        <f t="shared" si="0"/>
        <v>5</v>
      </c>
      <c r="CB12" s="129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</row>
    <row r="13" spans="1:113" ht="13.5" customHeight="1" x14ac:dyDescent="0.2">
      <c r="A13" s="128">
        <v>43587.525542187504</v>
      </c>
      <c r="B13" s="124" t="s">
        <v>284</v>
      </c>
      <c r="C13" s="124" t="s">
        <v>11</v>
      </c>
      <c r="D13" s="124" t="s">
        <v>19</v>
      </c>
      <c r="E13" s="124" t="s">
        <v>18</v>
      </c>
      <c r="F13" s="124" t="s">
        <v>25</v>
      </c>
      <c r="G13" s="124" t="s">
        <v>293</v>
      </c>
      <c r="H13" s="124" t="s">
        <v>40</v>
      </c>
      <c r="I13" s="124" t="s">
        <v>43</v>
      </c>
      <c r="J13" s="124" t="s">
        <v>52</v>
      </c>
      <c r="K13" s="124" t="s">
        <v>65</v>
      </c>
      <c r="L13" s="124" t="s">
        <v>65</v>
      </c>
      <c r="M13" s="129">
        <v>5</v>
      </c>
      <c r="N13" s="129">
        <v>4</v>
      </c>
      <c r="O13" s="129">
        <v>3</v>
      </c>
      <c r="P13" s="129">
        <v>5</v>
      </c>
      <c r="Q13" s="129">
        <v>5</v>
      </c>
      <c r="R13" s="129">
        <v>5</v>
      </c>
      <c r="S13" s="129">
        <v>5</v>
      </c>
      <c r="T13" s="129">
        <v>9</v>
      </c>
      <c r="U13" s="129">
        <v>5</v>
      </c>
      <c r="V13" s="129">
        <v>5</v>
      </c>
      <c r="W13" s="129">
        <v>9</v>
      </c>
      <c r="X13" s="129">
        <v>9</v>
      </c>
      <c r="Y13" s="129">
        <v>5</v>
      </c>
      <c r="Z13" s="129">
        <v>5</v>
      </c>
      <c r="AA13" s="129">
        <v>5</v>
      </c>
      <c r="AB13" s="129">
        <v>5</v>
      </c>
      <c r="AC13" s="129">
        <v>9</v>
      </c>
      <c r="AD13" s="129">
        <v>9</v>
      </c>
      <c r="AE13" s="129">
        <v>9</v>
      </c>
      <c r="AF13" s="129">
        <v>9</v>
      </c>
      <c r="AG13" s="129">
        <v>9</v>
      </c>
      <c r="AH13" s="129">
        <v>9</v>
      </c>
      <c r="AI13" s="124" t="s">
        <v>18</v>
      </c>
      <c r="AJ13" s="129">
        <v>9</v>
      </c>
      <c r="AK13" s="129">
        <v>5</v>
      </c>
      <c r="AL13" s="129">
        <v>3</v>
      </c>
      <c r="AM13" s="129">
        <v>5</v>
      </c>
      <c r="AN13" s="129">
        <v>5</v>
      </c>
      <c r="AO13" s="129">
        <v>5</v>
      </c>
      <c r="AP13" s="129">
        <v>3</v>
      </c>
      <c r="AQ13" s="129">
        <v>3</v>
      </c>
      <c r="AR13" s="129">
        <v>3</v>
      </c>
      <c r="AS13" s="129">
        <v>3</v>
      </c>
      <c r="AT13" s="129">
        <v>9</v>
      </c>
      <c r="AU13" s="129">
        <v>5</v>
      </c>
      <c r="AV13" s="129">
        <v>5</v>
      </c>
      <c r="AW13" s="129">
        <v>5</v>
      </c>
      <c r="AX13" s="129">
        <v>5</v>
      </c>
      <c r="AY13" s="129">
        <v>1</v>
      </c>
      <c r="AZ13" s="129">
        <v>9</v>
      </c>
      <c r="BA13" s="129">
        <v>1</v>
      </c>
      <c r="BB13" s="129">
        <v>1</v>
      </c>
      <c r="BC13" s="129">
        <v>5</v>
      </c>
      <c r="BD13" s="129">
        <v>3</v>
      </c>
      <c r="BE13" s="129">
        <v>1</v>
      </c>
      <c r="BF13" s="124" t="s">
        <v>283</v>
      </c>
      <c r="BG13" s="129">
        <v>2</v>
      </c>
      <c r="BH13" s="124"/>
      <c r="BI13" s="129">
        <v>1</v>
      </c>
      <c r="BJ13" s="124" t="s">
        <v>190</v>
      </c>
      <c r="BK13" s="124" t="s">
        <v>192</v>
      </c>
      <c r="BL13" s="124" t="s">
        <v>18</v>
      </c>
      <c r="BM13" s="124" t="s">
        <v>283</v>
      </c>
      <c r="BN13" s="129">
        <v>9</v>
      </c>
      <c r="BO13" s="124"/>
      <c r="BP13" s="124"/>
      <c r="BQ13" s="124"/>
      <c r="BR13" s="129"/>
      <c r="BS13" s="129"/>
      <c r="BT13" s="129"/>
      <c r="BU13" s="124"/>
      <c r="BV13" s="124"/>
      <c r="BW13" s="124"/>
      <c r="BX13" s="124"/>
      <c r="BY13" s="124"/>
      <c r="BZ13" s="129">
        <v>1</v>
      </c>
      <c r="CA13" s="124">
        <f t="shared" si="0"/>
        <v>5</v>
      </c>
      <c r="CB13" s="129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</row>
    <row r="14" spans="1:113" ht="12.75" x14ac:dyDescent="0.2">
      <c r="A14" s="128">
        <v>43587.528399675924</v>
      </c>
      <c r="B14" s="124" t="s">
        <v>286</v>
      </c>
      <c r="C14" s="124" t="s">
        <v>9</v>
      </c>
      <c r="D14" s="124" t="s">
        <v>19</v>
      </c>
      <c r="E14" s="124" t="s">
        <v>18</v>
      </c>
      <c r="F14" s="124" t="s">
        <v>25</v>
      </c>
      <c r="G14" s="124" t="s">
        <v>32</v>
      </c>
      <c r="H14" s="124" t="s">
        <v>40</v>
      </c>
      <c r="I14" s="124" t="s">
        <v>43</v>
      </c>
      <c r="J14" s="124" t="s">
        <v>52</v>
      </c>
      <c r="K14" s="124" t="s">
        <v>65</v>
      </c>
      <c r="L14" s="124" t="s">
        <v>65</v>
      </c>
      <c r="M14" s="129">
        <v>5</v>
      </c>
      <c r="N14" s="129">
        <v>5</v>
      </c>
      <c r="O14" s="129">
        <v>4</v>
      </c>
      <c r="P14" s="129">
        <v>5</v>
      </c>
      <c r="Q14" s="129">
        <v>4</v>
      </c>
      <c r="R14" s="129">
        <v>9</v>
      </c>
      <c r="S14" s="129">
        <v>5</v>
      </c>
      <c r="T14" s="129">
        <v>5</v>
      </c>
      <c r="U14" s="129">
        <v>5</v>
      </c>
      <c r="V14" s="129">
        <v>5</v>
      </c>
      <c r="W14" s="129">
        <v>5</v>
      </c>
      <c r="X14" s="129">
        <v>9</v>
      </c>
      <c r="Y14" s="129">
        <v>4</v>
      </c>
      <c r="Z14" s="129">
        <v>4</v>
      </c>
      <c r="AA14" s="129">
        <v>5</v>
      </c>
      <c r="AB14" s="129">
        <v>5</v>
      </c>
      <c r="AC14" s="129">
        <v>5</v>
      </c>
      <c r="AD14" s="129">
        <v>5</v>
      </c>
      <c r="AE14" s="129">
        <v>5</v>
      </c>
      <c r="AF14" s="129">
        <v>5</v>
      </c>
      <c r="AG14" s="129">
        <v>5</v>
      </c>
      <c r="AH14" s="129">
        <v>5</v>
      </c>
      <c r="AI14" s="124" t="s">
        <v>18</v>
      </c>
      <c r="AJ14" s="129">
        <v>5</v>
      </c>
      <c r="AK14" s="129">
        <v>5</v>
      </c>
      <c r="AL14" s="129">
        <v>1</v>
      </c>
      <c r="AM14" s="129">
        <v>5</v>
      </c>
      <c r="AN14" s="129">
        <v>5</v>
      </c>
      <c r="AO14" s="129">
        <v>5</v>
      </c>
      <c r="AP14" s="129">
        <v>5</v>
      </c>
      <c r="AQ14" s="129">
        <v>5</v>
      </c>
      <c r="AR14" s="129">
        <v>5</v>
      </c>
      <c r="AS14" s="129">
        <v>5</v>
      </c>
      <c r="AT14" s="129">
        <v>5</v>
      </c>
      <c r="AU14" s="129">
        <v>5</v>
      </c>
      <c r="AV14" s="129">
        <v>5</v>
      </c>
      <c r="AW14" s="129">
        <v>5</v>
      </c>
      <c r="AX14" s="129">
        <v>5</v>
      </c>
      <c r="AY14" s="129">
        <v>1</v>
      </c>
      <c r="AZ14" s="129">
        <v>2</v>
      </c>
      <c r="BA14" s="129">
        <v>1</v>
      </c>
      <c r="BB14" s="129">
        <v>1</v>
      </c>
      <c r="BC14" s="129">
        <v>5</v>
      </c>
      <c r="BD14" s="129">
        <v>5</v>
      </c>
      <c r="BE14" s="129">
        <v>4</v>
      </c>
      <c r="BF14" s="129">
        <v>0</v>
      </c>
      <c r="BG14" s="129">
        <v>3</v>
      </c>
      <c r="BH14" s="124" t="s">
        <v>296</v>
      </c>
      <c r="BI14" s="129">
        <v>1</v>
      </c>
      <c r="BJ14" s="124" t="s">
        <v>188</v>
      </c>
      <c r="BK14" s="124" t="s">
        <v>192</v>
      </c>
      <c r="BL14" s="124" t="s">
        <v>18</v>
      </c>
      <c r="BM14" s="124" t="s">
        <v>18</v>
      </c>
      <c r="BN14" s="129">
        <v>5</v>
      </c>
      <c r="BO14" s="124"/>
      <c r="BP14" s="124"/>
      <c r="BQ14" s="124"/>
      <c r="BR14" s="129"/>
      <c r="BS14" s="129"/>
      <c r="BT14" s="129"/>
      <c r="BU14" s="124"/>
      <c r="BV14" s="124"/>
      <c r="BW14" s="124"/>
      <c r="BX14" s="124"/>
      <c r="BY14" s="124"/>
      <c r="BZ14" s="129">
        <v>1</v>
      </c>
      <c r="CA14" s="124">
        <f t="shared" si="0"/>
        <v>5</v>
      </c>
      <c r="CB14" s="129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</row>
    <row r="15" spans="1:113" ht="13.5" customHeight="1" x14ac:dyDescent="0.2">
      <c r="A15" s="128">
        <v>43587.530693518522</v>
      </c>
      <c r="B15" s="124" t="s">
        <v>280</v>
      </c>
      <c r="C15" s="124" t="s">
        <v>11</v>
      </c>
      <c r="D15" s="124" t="s">
        <v>16</v>
      </c>
      <c r="E15" s="124" t="s">
        <v>20</v>
      </c>
      <c r="F15" s="124" t="s">
        <v>26</v>
      </c>
      <c r="G15" s="124" t="s">
        <v>29</v>
      </c>
      <c r="H15" s="126" t="s">
        <v>41</v>
      </c>
      <c r="I15" s="124"/>
      <c r="J15" s="124" t="s">
        <v>23</v>
      </c>
      <c r="K15" s="124" t="s">
        <v>285</v>
      </c>
      <c r="L15" s="124" t="s">
        <v>61</v>
      </c>
      <c r="M15" s="129">
        <v>4</v>
      </c>
      <c r="N15" s="129">
        <v>3</v>
      </c>
      <c r="O15" s="129">
        <v>2</v>
      </c>
      <c r="P15" s="129">
        <v>5</v>
      </c>
      <c r="Q15" s="129">
        <v>4</v>
      </c>
      <c r="R15" s="129">
        <v>9</v>
      </c>
      <c r="S15" s="129">
        <v>5</v>
      </c>
      <c r="T15" s="129">
        <v>5</v>
      </c>
      <c r="U15" s="129">
        <v>4</v>
      </c>
      <c r="V15" s="129">
        <v>4</v>
      </c>
      <c r="W15" s="129">
        <v>5</v>
      </c>
      <c r="X15" s="129">
        <v>2</v>
      </c>
      <c r="Y15" s="129">
        <v>5</v>
      </c>
      <c r="Z15" s="129">
        <v>4</v>
      </c>
      <c r="AA15" s="129">
        <v>3</v>
      </c>
      <c r="AB15" s="129">
        <v>4</v>
      </c>
      <c r="AC15" s="129">
        <v>4</v>
      </c>
      <c r="AD15" s="129">
        <v>5</v>
      </c>
      <c r="AE15" s="129">
        <v>5</v>
      </c>
      <c r="AF15" s="129">
        <v>5</v>
      </c>
      <c r="AG15" s="129">
        <v>5</v>
      </c>
      <c r="AH15" s="129">
        <v>4</v>
      </c>
      <c r="AI15" s="124" t="s">
        <v>20</v>
      </c>
      <c r="AJ15" s="129">
        <v>9</v>
      </c>
      <c r="AK15" s="129">
        <v>4</v>
      </c>
      <c r="AL15" s="129">
        <v>2</v>
      </c>
      <c r="AM15" s="129">
        <v>4</v>
      </c>
      <c r="AN15" s="129">
        <v>5</v>
      </c>
      <c r="AO15" s="129">
        <v>4</v>
      </c>
      <c r="AP15" s="129">
        <v>4</v>
      </c>
      <c r="AQ15" s="129">
        <v>4</v>
      </c>
      <c r="AR15" s="129">
        <v>9</v>
      </c>
      <c r="AS15" s="129">
        <v>9</v>
      </c>
      <c r="AT15" s="129">
        <v>9</v>
      </c>
      <c r="AU15" s="129">
        <v>9</v>
      </c>
      <c r="AV15" s="129">
        <v>9</v>
      </c>
      <c r="AW15" s="129">
        <v>9</v>
      </c>
      <c r="AX15" s="129">
        <v>9</v>
      </c>
      <c r="AY15" s="129">
        <v>9</v>
      </c>
      <c r="AZ15" s="129">
        <v>9</v>
      </c>
      <c r="BA15" s="129">
        <v>9</v>
      </c>
      <c r="BB15" s="129">
        <v>9</v>
      </c>
      <c r="BC15" s="129">
        <v>9</v>
      </c>
      <c r="BD15" s="129">
        <v>9</v>
      </c>
      <c r="BE15" s="129">
        <v>1</v>
      </c>
      <c r="BF15" s="124" t="s">
        <v>283</v>
      </c>
      <c r="BG15" s="124" t="s">
        <v>283</v>
      </c>
      <c r="BH15" s="124"/>
      <c r="BI15" s="129">
        <v>9</v>
      </c>
      <c r="BJ15" s="124" t="s">
        <v>188</v>
      </c>
      <c r="BK15" s="124" t="s">
        <v>283</v>
      </c>
      <c r="BL15" s="124" t="s">
        <v>20</v>
      </c>
      <c r="BM15" s="124" t="s">
        <v>283</v>
      </c>
      <c r="BN15" s="129">
        <v>9</v>
      </c>
      <c r="BO15" s="124"/>
      <c r="BP15" s="124"/>
      <c r="BQ15" s="124"/>
      <c r="BR15" s="129"/>
      <c r="BS15" s="129"/>
      <c r="BT15" s="129"/>
      <c r="BU15" s="124"/>
      <c r="BV15" s="124"/>
      <c r="BW15" s="124"/>
      <c r="BX15" s="124"/>
      <c r="BY15" s="124"/>
      <c r="BZ15" s="129">
        <v>1</v>
      </c>
      <c r="CA15" s="124">
        <f t="shared" si="0"/>
        <v>5</v>
      </c>
      <c r="CB15" s="129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</row>
    <row r="16" spans="1:113" ht="12.75" x14ac:dyDescent="0.2">
      <c r="A16" s="128">
        <v>43587.533338634261</v>
      </c>
      <c r="B16" s="124" t="s">
        <v>13</v>
      </c>
      <c r="C16" s="124" t="s">
        <v>11</v>
      </c>
      <c r="D16" s="124" t="s">
        <v>16</v>
      </c>
      <c r="E16" s="124" t="s">
        <v>20</v>
      </c>
      <c r="F16" s="124" t="s">
        <v>26</v>
      </c>
      <c r="G16" s="124" t="s">
        <v>29</v>
      </c>
      <c r="H16" s="124" t="s">
        <v>38</v>
      </c>
      <c r="I16" s="124" t="s">
        <v>46</v>
      </c>
      <c r="J16" s="124" t="s">
        <v>52</v>
      </c>
      <c r="K16" s="124" t="s">
        <v>64</v>
      </c>
      <c r="L16" s="124" t="s">
        <v>64</v>
      </c>
      <c r="M16" s="129">
        <v>4</v>
      </c>
      <c r="N16" s="129">
        <v>4</v>
      </c>
      <c r="O16" s="129">
        <v>3</v>
      </c>
      <c r="P16" s="129">
        <v>5</v>
      </c>
      <c r="Q16" s="129">
        <v>4</v>
      </c>
      <c r="R16" s="129">
        <v>9</v>
      </c>
      <c r="S16" s="129">
        <v>5</v>
      </c>
      <c r="T16" s="129">
        <v>5</v>
      </c>
      <c r="U16" s="129">
        <v>4</v>
      </c>
      <c r="V16" s="129">
        <v>5</v>
      </c>
      <c r="W16" s="129">
        <v>5</v>
      </c>
      <c r="X16" s="129">
        <v>9</v>
      </c>
      <c r="Y16" s="129">
        <v>4</v>
      </c>
      <c r="Z16" s="129">
        <v>4</v>
      </c>
      <c r="AA16" s="129">
        <v>5</v>
      </c>
      <c r="AB16" s="129">
        <v>4</v>
      </c>
      <c r="AC16" s="129">
        <v>5</v>
      </c>
      <c r="AD16" s="129">
        <v>4</v>
      </c>
      <c r="AE16" s="129">
        <v>5</v>
      </c>
      <c r="AF16" s="129">
        <v>5</v>
      </c>
      <c r="AG16" s="129">
        <v>5</v>
      </c>
      <c r="AH16" s="129">
        <v>5</v>
      </c>
      <c r="AI16" s="124" t="s">
        <v>20</v>
      </c>
      <c r="AJ16" s="129">
        <v>9</v>
      </c>
      <c r="AK16" s="129">
        <v>4</v>
      </c>
      <c r="AL16" s="129">
        <v>2</v>
      </c>
      <c r="AM16" s="129">
        <v>5</v>
      </c>
      <c r="AN16" s="129">
        <v>5</v>
      </c>
      <c r="AO16" s="129">
        <v>4</v>
      </c>
      <c r="AP16" s="129">
        <v>4</v>
      </c>
      <c r="AQ16" s="129">
        <v>5</v>
      </c>
      <c r="AR16" s="129">
        <v>4</v>
      </c>
      <c r="AS16" s="129">
        <v>4</v>
      </c>
      <c r="AT16" s="129">
        <v>4</v>
      </c>
      <c r="AU16" s="129">
        <v>5</v>
      </c>
      <c r="AV16" s="129">
        <v>4</v>
      </c>
      <c r="AW16" s="129">
        <v>5</v>
      </c>
      <c r="AX16" s="129">
        <v>5</v>
      </c>
      <c r="AY16" s="129">
        <v>1</v>
      </c>
      <c r="AZ16" s="129">
        <v>9</v>
      </c>
      <c r="BA16" s="129">
        <v>1</v>
      </c>
      <c r="BB16" s="129">
        <v>1</v>
      </c>
      <c r="BC16" s="129">
        <v>4</v>
      </c>
      <c r="BD16" s="129">
        <v>3</v>
      </c>
      <c r="BE16" s="129">
        <v>4</v>
      </c>
      <c r="BF16" s="124" t="s">
        <v>283</v>
      </c>
      <c r="BG16" s="129">
        <v>3</v>
      </c>
      <c r="BH16" s="124"/>
      <c r="BI16" s="129">
        <v>9</v>
      </c>
      <c r="BJ16" s="124" t="s">
        <v>190</v>
      </c>
      <c r="BK16" s="124" t="s">
        <v>192</v>
      </c>
      <c r="BL16" s="124" t="s">
        <v>20</v>
      </c>
      <c r="BM16" s="124" t="s">
        <v>283</v>
      </c>
      <c r="BN16" s="129">
        <v>9</v>
      </c>
      <c r="BO16" s="124"/>
      <c r="BP16" s="124"/>
      <c r="BQ16" s="124"/>
      <c r="BR16" s="129"/>
      <c r="BS16" s="129"/>
      <c r="BT16" s="129"/>
      <c r="BU16" s="124"/>
      <c r="BV16" s="124"/>
      <c r="BW16" s="124"/>
      <c r="BX16" s="124"/>
      <c r="BY16" s="124"/>
      <c r="BZ16" s="129">
        <v>1</v>
      </c>
      <c r="CA16" s="124">
        <f t="shared" si="0"/>
        <v>5</v>
      </c>
      <c r="CB16" s="129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</row>
    <row r="17" spans="1:113" ht="12.75" x14ac:dyDescent="0.2">
      <c r="A17" s="128">
        <v>43587.53568335648</v>
      </c>
      <c r="B17" s="124" t="s">
        <v>286</v>
      </c>
      <c r="C17" s="124" t="s">
        <v>9</v>
      </c>
      <c r="D17" s="124" t="s">
        <v>19</v>
      </c>
      <c r="E17" s="124" t="s">
        <v>18</v>
      </c>
      <c r="F17" s="124" t="s">
        <v>25</v>
      </c>
      <c r="G17" s="124" t="s">
        <v>32</v>
      </c>
      <c r="H17" s="124" t="s">
        <v>38</v>
      </c>
      <c r="I17" s="124" t="s">
        <v>43</v>
      </c>
      <c r="J17" s="124" t="s">
        <v>52</v>
      </c>
      <c r="K17" s="124" t="s">
        <v>64</v>
      </c>
      <c r="L17" s="124" t="s">
        <v>64</v>
      </c>
      <c r="M17" s="129">
        <v>4</v>
      </c>
      <c r="N17" s="129">
        <v>4</v>
      </c>
      <c r="O17" s="129">
        <v>3</v>
      </c>
      <c r="P17" s="129">
        <v>5</v>
      </c>
      <c r="Q17" s="129">
        <v>9</v>
      </c>
      <c r="R17" s="129">
        <v>4</v>
      </c>
      <c r="S17" s="129">
        <v>5</v>
      </c>
      <c r="T17" s="129">
        <v>5</v>
      </c>
      <c r="U17" s="129">
        <v>5</v>
      </c>
      <c r="V17" s="129">
        <v>5</v>
      </c>
      <c r="W17" s="129">
        <v>4</v>
      </c>
      <c r="X17" s="129">
        <v>4</v>
      </c>
      <c r="Y17" s="129">
        <v>5</v>
      </c>
      <c r="Z17" s="129">
        <v>5</v>
      </c>
      <c r="AA17" s="129">
        <v>5</v>
      </c>
      <c r="AB17" s="129">
        <v>4</v>
      </c>
      <c r="AC17" s="129">
        <v>5</v>
      </c>
      <c r="AD17" s="129">
        <v>4</v>
      </c>
      <c r="AE17" s="129">
        <v>5</v>
      </c>
      <c r="AF17" s="129">
        <v>5</v>
      </c>
      <c r="AG17" s="129">
        <v>5</v>
      </c>
      <c r="AH17" s="129">
        <v>5</v>
      </c>
      <c r="AI17" s="124" t="s">
        <v>18</v>
      </c>
      <c r="AJ17" s="129">
        <v>5</v>
      </c>
      <c r="AK17" s="129">
        <v>5</v>
      </c>
      <c r="AL17" s="129">
        <v>2</v>
      </c>
      <c r="AM17" s="129">
        <v>5</v>
      </c>
      <c r="AN17" s="129">
        <v>5</v>
      </c>
      <c r="AO17" s="129">
        <v>5</v>
      </c>
      <c r="AP17" s="129">
        <v>4</v>
      </c>
      <c r="AQ17" s="129">
        <v>5</v>
      </c>
      <c r="AR17" s="129">
        <v>4</v>
      </c>
      <c r="AS17" s="129">
        <v>5</v>
      </c>
      <c r="AT17" s="129">
        <v>5</v>
      </c>
      <c r="AU17" s="129">
        <v>5</v>
      </c>
      <c r="AV17" s="129">
        <v>5</v>
      </c>
      <c r="AW17" s="129">
        <v>5</v>
      </c>
      <c r="AX17" s="129">
        <v>5</v>
      </c>
      <c r="AY17" s="129">
        <v>1</v>
      </c>
      <c r="AZ17" s="129">
        <v>9</v>
      </c>
      <c r="BA17" s="129">
        <v>1</v>
      </c>
      <c r="BB17" s="129">
        <v>1</v>
      </c>
      <c r="BC17" s="129">
        <v>4</v>
      </c>
      <c r="BD17" s="129">
        <v>3</v>
      </c>
      <c r="BE17" s="129">
        <v>3</v>
      </c>
      <c r="BF17" s="124" t="s">
        <v>283</v>
      </c>
      <c r="BG17" s="129">
        <v>4</v>
      </c>
      <c r="BH17" s="124"/>
      <c r="BI17" s="129">
        <v>1</v>
      </c>
      <c r="BJ17" s="124" t="s">
        <v>188</v>
      </c>
      <c r="BK17" s="124" t="s">
        <v>192</v>
      </c>
      <c r="BL17" s="124" t="s">
        <v>18</v>
      </c>
      <c r="BM17" s="124" t="s">
        <v>20</v>
      </c>
      <c r="BN17" s="129">
        <v>9</v>
      </c>
      <c r="BO17" s="124"/>
      <c r="BP17" s="124"/>
      <c r="BQ17" s="124"/>
      <c r="BR17" s="129"/>
      <c r="BS17" s="129"/>
      <c r="BT17" s="129"/>
      <c r="BU17" s="124"/>
      <c r="BV17" s="124"/>
      <c r="BW17" s="124"/>
      <c r="BX17" s="124"/>
      <c r="BY17" s="124"/>
      <c r="BZ17" s="129">
        <v>1</v>
      </c>
      <c r="CA17" s="124">
        <f t="shared" si="0"/>
        <v>5</v>
      </c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</row>
    <row r="18" spans="1:113" ht="12.75" x14ac:dyDescent="0.2">
      <c r="A18" s="128">
        <v>43587.537960798611</v>
      </c>
      <c r="B18" s="124" t="s">
        <v>284</v>
      </c>
      <c r="C18" s="124" t="s">
        <v>11</v>
      </c>
      <c r="D18" s="124" t="s">
        <v>19</v>
      </c>
      <c r="E18" s="124" t="s">
        <v>18</v>
      </c>
      <c r="F18" s="124" t="s">
        <v>26</v>
      </c>
      <c r="G18" s="124" t="s">
        <v>31</v>
      </c>
      <c r="H18" s="124" t="s">
        <v>38</v>
      </c>
      <c r="I18" s="124" t="s">
        <v>43</v>
      </c>
      <c r="J18" s="124" t="s">
        <v>52</v>
      </c>
      <c r="K18" s="124" t="s">
        <v>64</v>
      </c>
      <c r="L18" s="124" t="s">
        <v>64</v>
      </c>
      <c r="M18" s="129">
        <v>5</v>
      </c>
      <c r="N18" s="129">
        <v>3</v>
      </c>
      <c r="O18" s="129">
        <v>3</v>
      </c>
      <c r="P18" s="129">
        <v>5</v>
      </c>
      <c r="Q18" s="129">
        <v>4</v>
      </c>
      <c r="R18" s="129">
        <v>9</v>
      </c>
      <c r="S18" s="129">
        <v>5</v>
      </c>
      <c r="T18" s="129">
        <v>5</v>
      </c>
      <c r="U18" s="129">
        <v>4</v>
      </c>
      <c r="V18" s="129">
        <v>5</v>
      </c>
      <c r="W18" s="129">
        <v>5</v>
      </c>
      <c r="X18" s="129">
        <v>3</v>
      </c>
      <c r="Y18" s="129">
        <v>4</v>
      </c>
      <c r="Z18" s="129">
        <v>4</v>
      </c>
      <c r="AA18" s="129">
        <v>5</v>
      </c>
      <c r="AB18" s="129">
        <v>5</v>
      </c>
      <c r="AC18" s="129">
        <v>5</v>
      </c>
      <c r="AD18" s="129">
        <v>4</v>
      </c>
      <c r="AE18" s="129">
        <v>5</v>
      </c>
      <c r="AF18" s="129">
        <v>5</v>
      </c>
      <c r="AG18" s="129">
        <v>5</v>
      </c>
      <c r="AH18" s="129">
        <v>5</v>
      </c>
      <c r="AI18" s="124" t="s">
        <v>18</v>
      </c>
      <c r="AJ18" s="129">
        <v>4</v>
      </c>
      <c r="AK18" s="129">
        <v>4</v>
      </c>
      <c r="AL18" s="129">
        <v>2</v>
      </c>
      <c r="AM18" s="129">
        <v>5</v>
      </c>
      <c r="AN18" s="129">
        <v>5</v>
      </c>
      <c r="AO18" s="129">
        <v>5</v>
      </c>
      <c r="AP18" s="129">
        <v>4</v>
      </c>
      <c r="AQ18" s="129">
        <v>5</v>
      </c>
      <c r="AR18" s="129">
        <v>4</v>
      </c>
      <c r="AS18" s="129">
        <v>4</v>
      </c>
      <c r="AT18" s="129">
        <v>5</v>
      </c>
      <c r="AU18" s="129">
        <v>5</v>
      </c>
      <c r="AV18" s="129">
        <v>4</v>
      </c>
      <c r="AW18" s="129">
        <v>5</v>
      </c>
      <c r="AX18" s="129">
        <v>5</v>
      </c>
      <c r="AY18" s="129">
        <v>1</v>
      </c>
      <c r="AZ18" s="129">
        <v>9</v>
      </c>
      <c r="BA18" s="129">
        <v>1</v>
      </c>
      <c r="BB18" s="129">
        <v>1</v>
      </c>
      <c r="BC18" s="129">
        <v>4</v>
      </c>
      <c r="BD18" s="129">
        <v>4</v>
      </c>
      <c r="BE18" s="129">
        <v>5</v>
      </c>
      <c r="BF18" s="129">
        <v>0</v>
      </c>
      <c r="BG18" s="129">
        <v>4</v>
      </c>
      <c r="BH18" s="124"/>
      <c r="BI18" s="129">
        <v>1</v>
      </c>
      <c r="BJ18" s="124" t="s">
        <v>188</v>
      </c>
      <c r="BK18" s="124" t="s">
        <v>192</v>
      </c>
      <c r="BL18" s="124" t="s">
        <v>18</v>
      </c>
      <c r="BM18" s="124" t="s">
        <v>20</v>
      </c>
      <c r="BN18" s="129">
        <v>9</v>
      </c>
      <c r="BO18" s="124"/>
      <c r="BP18" s="124"/>
      <c r="BQ18" s="124"/>
      <c r="BR18" s="129"/>
      <c r="BS18" s="129"/>
      <c r="BT18" s="129"/>
      <c r="BU18" s="124"/>
      <c r="BV18" s="124"/>
      <c r="BW18" s="124"/>
      <c r="BX18" s="124"/>
      <c r="BY18" s="124"/>
      <c r="BZ18" s="129">
        <v>1</v>
      </c>
      <c r="CA18" s="124">
        <f t="shared" si="0"/>
        <v>5</v>
      </c>
      <c r="CB18" s="129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</row>
    <row r="19" spans="1:113" ht="12.75" x14ac:dyDescent="0.2">
      <c r="A19" s="128">
        <v>43587.540266099539</v>
      </c>
      <c r="B19" s="124" t="s">
        <v>286</v>
      </c>
      <c r="C19" s="124" t="s">
        <v>9</v>
      </c>
      <c r="D19" s="124" t="s">
        <v>16</v>
      </c>
      <c r="E19" s="124" t="s">
        <v>20</v>
      </c>
      <c r="F19" s="124" t="s">
        <v>25</v>
      </c>
      <c r="G19" s="124" t="s">
        <v>29</v>
      </c>
      <c r="H19" s="126" t="s">
        <v>41</v>
      </c>
      <c r="I19" s="124"/>
      <c r="J19" s="124" t="s">
        <v>23</v>
      </c>
      <c r="K19" s="124" t="s">
        <v>285</v>
      </c>
      <c r="L19" s="124" t="s">
        <v>61</v>
      </c>
      <c r="M19" s="129">
        <v>9</v>
      </c>
      <c r="N19" s="129">
        <v>2</v>
      </c>
      <c r="O19" s="129">
        <v>2</v>
      </c>
      <c r="P19" s="129">
        <v>4</v>
      </c>
      <c r="Q19" s="129">
        <v>5</v>
      </c>
      <c r="R19" s="129">
        <v>9</v>
      </c>
      <c r="S19" s="129">
        <v>5</v>
      </c>
      <c r="T19" s="129">
        <v>4</v>
      </c>
      <c r="U19" s="129">
        <v>9</v>
      </c>
      <c r="V19" s="129">
        <v>9</v>
      </c>
      <c r="W19" s="129">
        <v>9</v>
      </c>
      <c r="X19" s="129">
        <v>3</v>
      </c>
      <c r="Y19" s="129">
        <v>4</v>
      </c>
      <c r="Z19" s="129">
        <v>4</v>
      </c>
      <c r="AA19" s="129">
        <v>3</v>
      </c>
      <c r="AB19" s="129">
        <v>4</v>
      </c>
      <c r="AC19" s="129">
        <v>4</v>
      </c>
      <c r="AD19" s="129">
        <v>9</v>
      </c>
      <c r="AE19" s="129">
        <v>4</v>
      </c>
      <c r="AF19" s="129">
        <v>4</v>
      </c>
      <c r="AG19" s="129">
        <v>4</v>
      </c>
      <c r="AH19" s="129">
        <v>4</v>
      </c>
      <c r="AI19" s="124" t="s">
        <v>20</v>
      </c>
      <c r="AJ19" s="129">
        <v>9</v>
      </c>
      <c r="AK19" s="129">
        <v>9</v>
      </c>
      <c r="AL19" s="129">
        <v>9</v>
      </c>
      <c r="AM19" s="129">
        <v>9</v>
      </c>
      <c r="AN19" s="129">
        <v>9</v>
      </c>
      <c r="AO19" s="129">
        <v>9</v>
      </c>
      <c r="AP19" s="129">
        <v>9</v>
      </c>
      <c r="AQ19" s="129">
        <v>9</v>
      </c>
      <c r="AR19" s="129">
        <v>9</v>
      </c>
      <c r="AS19" s="129">
        <v>9</v>
      </c>
      <c r="AT19" s="129">
        <v>9</v>
      </c>
      <c r="AU19" s="129">
        <v>9</v>
      </c>
      <c r="AV19" s="129">
        <v>9</v>
      </c>
      <c r="AW19" s="129">
        <v>9</v>
      </c>
      <c r="AX19" s="129">
        <v>9</v>
      </c>
      <c r="AY19" s="129">
        <v>9</v>
      </c>
      <c r="AZ19" s="129">
        <v>9</v>
      </c>
      <c r="BA19" s="129">
        <v>9</v>
      </c>
      <c r="BB19" s="129">
        <v>9</v>
      </c>
      <c r="BC19" s="129">
        <v>9</v>
      </c>
      <c r="BD19" s="129">
        <v>9</v>
      </c>
      <c r="BE19" s="124" t="s">
        <v>283</v>
      </c>
      <c r="BF19" s="124" t="s">
        <v>283</v>
      </c>
      <c r="BG19" s="124" t="s">
        <v>283</v>
      </c>
      <c r="BH19" s="124"/>
      <c r="BI19" s="129">
        <v>9</v>
      </c>
      <c r="BJ19" s="124" t="s">
        <v>188</v>
      </c>
      <c r="BK19" s="124" t="s">
        <v>283</v>
      </c>
      <c r="BL19" s="124" t="s">
        <v>20</v>
      </c>
      <c r="BM19" s="124" t="s">
        <v>283</v>
      </c>
      <c r="BN19" s="129">
        <v>9</v>
      </c>
      <c r="BO19" s="124"/>
      <c r="BP19" s="124"/>
      <c r="BQ19" s="124"/>
      <c r="BR19" s="129"/>
      <c r="BS19" s="129"/>
      <c r="BT19" s="129"/>
      <c r="BU19" s="124"/>
      <c r="BV19" s="124"/>
      <c r="BW19" s="124"/>
      <c r="BX19" s="124"/>
      <c r="BY19" s="124"/>
      <c r="BZ19" s="129">
        <v>1</v>
      </c>
      <c r="CA19" s="124">
        <f t="shared" si="0"/>
        <v>5</v>
      </c>
      <c r="CB19" s="129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</row>
    <row r="20" spans="1:113" ht="13.5" customHeight="1" x14ac:dyDescent="0.2">
      <c r="A20" s="128">
        <v>43587.542340034721</v>
      </c>
      <c r="B20" s="124" t="s">
        <v>284</v>
      </c>
      <c r="C20" s="124" t="s">
        <v>11</v>
      </c>
      <c r="D20" s="124" t="s">
        <v>19</v>
      </c>
      <c r="E20" s="124" t="s">
        <v>18</v>
      </c>
      <c r="F20" s="124" t="s">
        <v>26</v>
      </c>
      <c r="G20" s="124" t="s">
        <v>32</v>
      </c>
      <c r="H20" s="124" t="s">
        <v>38</v>
      </c>
      <c r="I20" s="124" t="s">
        <v>43</v>
      </c>
      <c r="J20" s="124" t="s">
        <v>52</v>
      </c>
      <c r="K20" s="124" t="s">
        <v>287</v>
      </c>
      <c r="L20" s="124" t="s">
        <v>61</v>
      </c>
      <c r="M20" s="129">
        <v>4</v>
      </c>
      <c r="N20" s="129">
        <v>3</v>
      </c>
      <c r="O20" s="129">
        <v>3</v>
      </c>
      <c r="P20" s="129">
        <v>5</v>
      </c>
      <c r="Q20" s="129">
        <v>9</v>
      </c>
      <c r="R20" s="129">
        <v>5</v>
      </c>
      <c r="S20" s="129">
        <v>5</v>
      </c>
      <c r="T20" s="129">
        <v>5</v>
      </c>
      <c r="U20" s="129">
        <v>5</v>
      </c>
      <c r="V20" s="129">
        <v>5</v>
      </c>
      <c r="W20" s="129">
        <v>5</v>
      </c>
      <c r="X20" s="129">
        <v>4</v>
      </c>
      <c r="Y20" s="129">
        <v>5</v>
      </c>
      <c r="Z20" s="129">
        <v>4</v>
      </c>
      <c r="AA20" s="129">
        <v>5</v>
      </c>
      <c r="AB20" s="129">
        <v>5</v>
      </c>
      <c r="AC20" s="129">
        <v>5</v>
      </c>
      <c r="AD20" s="129">
        <v>5</v>
      </c>
      <c r="AE20" s="129">
        <v>5</v>
      </c>
      <c r="AF20" s="129">
        <v>5</v>
      </c>
      <c r="AG20" s="129">
        <v>5</v>
      </c>
      <c r="AH20" s="129">
        <v>5</v>
      </c>
      <c r="AI20" s="124" t="s">
        <v>18</v>
      </c>
      <c r="AJ20" s="129">
        <v>5</v>
      </c>
      <c r="AK20" s="129">
        <v>4</v>
      </c>
      <c r="AL20" s="129">
        <v>2</v>
      </c>
      <c r="AM20" s="129">
        <v>5</v>
      </c>
      <c r="AN20" s="129">
        <v>5</v>
      </c>
      <c r="AO20" s="129">
        <v>5</v>
      </c>
      <c r="AP20" s="129">
        <v>4</v>
      </c>
      <c r="AQ20" s="129">
        <v>5</v>
      </c>
      <c r="AR20" s="129">
        <v>5</v>
      </c>
      <c r="AS20" s="129">
        <v>5</v>
      </c>
      <c r="AT20" s="129">
        <v>5</v>
      </c>
      <c r="AU20" s="129">
        <v>5</v>
      </c>
      <c r="AV20" s="129">
        <v>5</v>
      </c>
      <c r="AW20" s="129">
        <v>5</v>
      </c>
      <c r="AX20" s="129">
        <v>5</v>
      </c>
      <c r="AY20" s="129">
        <v>9</v>
      </c>
      <c r="AZ20" s="129">
        <v>9</v>
      </c>
      <c r="BA20" s="129">
        <v>9</v>
      </c>
      <c r="BB20" s="129">
        <v>9</v>
      </c>
      <c r="BC20" s="129">
        <v>9</v>
      </c>
      <c r="BD20" s="129">
        <v>9</v>
      </c>
      <c r="BE20" s="129">
        <v>3</v>
      </c>
      <c r="BF20" s="129">
        <v>0</v>
      </c>
      <c r="BG20" s="129">
        <v>2</v>
      </c>
      <c r="BH20" s="124"/>
      <c r="BI20" s="129">
        <v>9</v>
      </c>
      <c r="BJ20" s="124" t="s">
        <v>188</v>
      </c>
      <c r="BK20" s="124" t="s">
        <v>283</v>
      </c>
      <c r="BL20" s="124" t="s">
        <v>18</v>
      </c>
      <c r="BM20" s="124" t="s">
        <v>20</v>
      </c>
      <c r="BN20" s="129">
        <v>9</v>
      </c>
      <c r="BO20" s="124"/>
      <c r="BP20" s="124"/>
      <c r="BQ20" s="124"/>
      <c r="BR20" s="129"/>
      <c r="BS20" s="129"/>
      <c r="BT20" s="129"/>
      <c r="BU20" s="124"/>
      <c r="BV20" s="124"/>
      <c r="BW20" s="124"/>
      <c r="BX20" s="124"/>
      <c r="BY20" s="124"/>
      <c r="BZ20" s="129">
        <v>1</v>
      </c>
      <c r="CA20" s="124">
        <f t="shared" si="0"/>
        <v>5</v>
      </c>
      <c r="CB20" s="129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</row>
    <row r="21" spans="1:113" ht="12.75" x14ac:dyDescent="0.2">
      <c r="A21" s="128">
        <v>43587.544595659725</v>
      </c>
      <c r="B21" s="124" t="s">
        <v>284</v>
      </c>
      <c r="C21" s="124" t="s">
        <v>11</v>
      </c>
      <c r="D21" s="124" t="s">
        <v>19</v>
      </c>
      <c r="E21" s="124" t="s">
        <v>18</v>
      </c>
      <c r="F21" s="124" t="s">
        <v>25</v>
      </c>
      <c r="G21" s="124" t="s">
        <v>32</v>
      </c>
      <c r="H21" s="124" t="s">
        <v>40</v>
      </c>
      <c r="I21" s="124" t="s">
        <v>43</v>
      </c>
      <c r="J21" s="124" t="s">
        <v>50</v>
      </c>
      <c r="K21" s="124" t="s">
        <v>65</v>
      </c>
      <c r="L21" s="124" t="s">
        <v>65</v>
      </c>
      <c r="M21" s="129">
        <v>5</v>
      </c>
      <c r="N21" s="129">
        <v>5</v>
      </c>
      <c r="O21" s="129">
        <v>4</v>
      </c>
      <c r="P21" s="129">
        <v>5</v>
      </c>
      <c r="Q21" s="129">
        <v>9</v>
      </c>
      <c r="R21" s="129">
        <v>5</v>
      </c>
      <c r="S21" s="129">
        <v>5</v>
      </c>
      <c r="T21" s="129">
        <v>5</v>
      </c>
      <c r="U21" s="129">
        <v>5</v>
      </c>
      <c r="V21" s="129">
        <v>5</v>
      </c>
      <c r="W21" s="129">
        <v>5</v>
      </c>
      <c r="X21" s="129">
        <v>9</v>
      </c>
      <c r="Y21" s="129">
        <v>5</v>
      </c>
      <c r="Z21" s="129">
        <v>5</v>
      </c>
      <c r="AA21" s="129">
        <v>4</v>
      </c>
      <c r="AB21" s="129">
        <v>4</v>
      </c>
      <c r="AC21" s="129">
        <v>5</v>
      </c>
      <c r="AD21" s="129">
        <v>5</v>
      </c>
      <c r="AE21" s="129">
        <v>5</v>
      </c>
      <c r="AF21" s="129">
        <v>5</v>
      </c>
      <c r="AG21" s="129">
        <v>5</v>
      </c>
      <c r="AH21" s="129">
        <v>5</v>
      </c>
      <c r="AI21" s="124" t="s">
        <v>18</v>
      </c>
      <c r="AJ21" s="129">
        <v>5</v>
      </c>
      <c r="AK21" s="129">
        <v>5</v>
      </c>
      <c r="AL21" s="129">
        <v>2</v>
      </c>
      <c r="AM21" s="129">
        <v>5</v>
      </c>
      <c r="AN21" s="129">
        <v>5</v>
      </c>
      <c r="AO21" s="129">
        <v>5</v>
      </c>
      <c r="AP21" s="129">
        <v>4</v>
      </c>
      <c r="AQ21" s="129">
        <v>5</v>
      </c>
      <c r="AR21" s="129">
        <v>5</v>
      </c>
      <c r="AS21" s="129">
        <v>5</v>
      </c>
      <c r="AT21" s="129">
        <v>5</v>
      </c>
      <c r="AU21" s="129">
        <v>5</v>
      </c>
      <c r="AV21" s="129">
        <v>5</v>
      </c>
      <c r="AW21" s="129">
        <v>5</v>
      </c>
      <c r="AX21" s="129">
        <v>5</v>
      </c>
      <c r="AY21" s="129">
        <v>1</v>
      </c>
      <c r="AZ21" s="129">
        <v>2</v>
      </c>
      <c r="BA21" s="129">
        <v>1</v>
      </c>
      <c r="BB21" s="129">
        <v>1</v>
      </c>
      <c r="BC21" s="129">
        <v>5</v>
      </c>
      <c r="BD21" s="129">
        <v>5</v>
      </c>
      <c r="BE21" s="129">
        <v>5</v>
      </c>
      <c r="BF21" s="124" t="s">
        <v>283</v>
      </c>
      <c r="BG21" s="129">
        <v>2</v>
      </c>
      <c r="BH21" s="124"/>
      <c r="BI21" s="129">
        <v>1</v>
      </c>
      <c r="BJ21" s="124" t="s">
        <v>190</v>
      </c>
      <c r="BK21" s="124" t="s">
        <v>193</v>
      </c>
      <c r="BL21" s="124" t="s">
        <v>18</v>
      </c>
      <c r="BM21" s="124" t="s">
        <v>18</v>
      </c>
      <c r="BN21" s="129">
        <v>4</v>
      </c>
      <c r="BO21" s="124"/>
      <c r="BP21" s="124"/>
      <c r="BQ21" s="124"/>
      <c r="BR21" s="129"/>
      <c r="BS21" s="129"/>
      <c r="BT21" s="129"/>
      <c r="BU21" s="124"/>
      <c r="BV21" s="124"/>
      <c r="BW21" s="124"/>
      <c r="BX21" s="124"/>
      <c r="BY21" s="124"/>
      <c r="BZ21" s="129">
        <v>1</v>
      </c>
      <c r="CA21" s="124">
        <f t="shared" si="0"/>
        <v>5</v>
      </c>
      <c r="CB21" s="129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</row>
    <row r="22" spans="1:113" ht="13.5" customHeight="1" x14ac:dyDescent="0.2">
      <c r="A22" s="128">
        <v>43587.546887847224</v>
      </c>
      <c r="B22" s="124" t="s">
        <v>284</v>
      </c>
      <c r="C22" s="124" t="s">
        <v>11</v>
      </c>
      <c r="D22" s="124" t="s">
        <v>19</v>
      </c>
      <c r="E22" s="124" t="s">
        <v>18</v>
      </c>
      <c r="F22" s="124" t="s">
        <v>25</v>
      </c>
      <c r="G22" s="124" t="s">
        <v>31</v>
      </c>
      <c r="H22" s="124" t="s">
        <v>41</v>
      </c>
      <c r="I22" s="124" t="s">
        <v>43</v>
      </c>
      <c r="J22" s="124" t="s">
        <v>52</v>
      </c>
      <c r="K22" s="124" t="s">
        <v>64</v>
      </c>
      <c r="L22" s="124" t="s">
        <v>62</v>
      </c>
      <c r="M22" s="129">
        <v>9</v>
      </c>
      <c r="N22" s="129">
        <v>4</v>
      </c>
      <c r="O22" s="129">
        <v>1</v>
      </c>
      <c r="P22" s="129">
        <v>5</v>
      </c>
      <c r="Q22" s="129">
        <v>5</v>
      </c>
      <c r="R22" s="129">
        <v>5</v>
      </c>
      <c r="S22" s="129">
        <v>5</v>
      </c>
      <c r="T22" s="129">
        <v>4</v>
      </c>
      <c r="U22" s="129">
        <v>4</v>
      </c>
      <c r="V22" s="129">
        <v>5</v>
      </c>
      <c r="W22" s="129">
        <v>5</v>
      </c>
      <c r="X22" s="129">
        <v>5</v>
      </c>
      <c r="Y22" s="129">
        <v>5</v>
      </c>
      <c r="Z22" s="129">
        <v>5</v>
      </c>
      <c r="AA22" s="129">
        <v>5</v>
      </c>
      <c r="AB22" s="129">
        <v>5</v>
      </c>
      <c r="AC22" s="129">
        <v>5</v>
      </c>
      <c r="AD22" s="129">
        <v>5</v>
      </c>
      <c r="AE22" s="129">
        <v>5</v>
      </c>
      <c r="AF22" s="129">
        <v>5</v>
      </c>
      <c r="AG22" s="129">
        <v>5</v>
      </c>
      <c r="AH22" s="129">
        <v>5</v>
      </c>
      <c r="AI22" s="124" t="s">
        <v>18</v>
      </c>
      <c r="AJ22" s="129">
        <v>5</v>
      </c>
      <c r="AK22" s="129">
        <v>5</v>
      </c>
      <c r="AL22" s="129">
        <v>1</v>
      </c>
      <c r="AM22" s="129">
        <v>5</v>
      </c>
      <c r="AN22" s="129">
        <v>5</v>
      </c>
      <c r="AO22" s="129">
        <v>5</v>
      </c>
      <c r="AP22" s="129">
        <v>4</v>
      </c>
      <c r="AQ22" s="129">
        <v>1</v>
      </c>
      <c r="AR22" s="129">
        <v>1</v>
      </c>
      <c r="AS22" s="129">
        <v>5</v>
      </c>
      <c r="AT22" s="129">
        <v>5</v>
      </c>
      <c r="AU22" s="129">
        <v>5</v>
      </c>
      <c r="AV22" s="129">
        <v>5</v>
      </c>
      <c r="AW22" s="129">
        <v>5</v>
      </c>
      <c r="AX22" s="129">
        <v>5</v>
      </c>
      <c r="AY22" s="129">
        <v>9</v>
      </c>
      <c r="AZ22" s="129">
        <v>9</v>
      </c>
      <c r="BA22" s="129">
        <v>9</v>
      </c>
      <c r="BB22" s="129">
        <v>9</v>
      </c>
      <c r="BC22" s="129">
        <v>9</v>
      </c>
      <c r="BD22" s="129">
        <v>9</v>
      </c>
      <c r="BE22" s="124" t="s">
        <v>283</v>
      </c>
      <c r="BF22" s="124" t="s">
        <v>283</v>
      </c>
      <c r="BG22" s="124" t="s">
        <v>283</v>
      </c>
      <c r="BH22" s="124"/>
      <c r="BI22" s="129">
        <v>1</v>
      </c>
      <c r="BJ22" s="124" t="s">
        <v>188</v>
      </c>
      <c r="BK22" s="124" t="s">
        <v>192</v>
      </c>
      <c r="BL22" s="124" t="s">
        <v>18</v>
      </c>
      <c r="BM22" s="124" t="s">
        <v>20</v>
      </c>
      <c r="BN22" s="129">
        <v>9</v>
      </c>
      <c r="BO22" s="124"/>
      <c r="BP22" s="124"/>
      <c r="BQ22" s="124"/>
      <c r="BR22" s="129"/>
      <c r="BS22" s="129"/>
      <c r="BT22" s="129"/>
      <c r="BU22" s="124"/>
      <c r="BV22" s="124"/>
      <c r="BW22" s="124"/>
      <c r="BX22" s="124"/>
      <c r="BY22" s="124"/>
      <c r="BZ22" s="129">
        <v>1</v>
      </c>
      <c r="CA22" s="124">
        <f t="shared" si="0"/>
        <v>5</v>
      </c>
      <c r="CB22" s="129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</row>
    <row r="23" spans="1:113" ht="12.75" x14ac:dyDescent="0.2">
      <c r="A23" s="128">
        <v>43587.549451678242</v>
      </c>
      <c r="B23" s="124" t="s">
        <v>286</v>
      </c>
      <c r="C23" s="124" t="s">
        <v>11</v>
      </c>
      <c r="D23" s="124" t="s">
        <v>16</v>
      </c>
      <c r="E23" s="124" t="s">
        <v>20</v>
      </c>
      <c r="F23" s="124" t="s">
        <v>26</v>
      </c>
      <c r="G23" s="124" t="s">
        <v>29</v>
      </c>
      <c r="H23" s="126" t="s">
        <v>41</v>
      </c>
      <c r="I23" s="124"/>
      <c r="J23" s="124" t="s">
        <v>23</v>
      </c>
      <c r="K23" s="124" t="s">
        <v>285</v>
      </c>
      <c r="L23" s="124" t="s">
        <v>61</v>
      </c>
      <c r="M23" s="129">
        <v>9</v>
      </c>
      <c r="N23" s="129">
        <v>2</v>
      </c>
      <c r="O23" s="129">
        <v>2</v>
      </c>
      <c r="P23" s="129">
        <v>3</v>
      </c>
      <c r="Q23" s="129">
        <v>4</v>
      </c>
      <c r="R23" s="129">
        <v>9</v>
      </c>
      <c r="S23" s="129">
        <v>5</v>
      </c>
      <c r="T23" s="129">
        <v>4</v>
      </c>
      <c r="U23" s="129">
        <v>9</v>
      </c>
      <c r="V23" s="129">
        <v>9</v>
      </c>
      <c r="W23" s="129">
        <v>9</v>
      </c>
      <c r="X23" s="129">
        <v>2</v>
      </c>
      <c r="Y23" s="129">
        <v>4</v>
      </c>
      <c r="Z23" s="129">
        <v>4</v>
      </c>
      <c r="AA23" s="129">
        <v>4</v>
      </c>
      <c r="AB23" s="129">
        <v>4</v>
      </c>
      <c r="AC23" s="129">
        <v>4</v>
      </c>
      <c r="AD23" s="129">
        <v>9</v>
      </c>
      <c r="AE23" s="129">
        <v>4</v>
      </c>
      <c r="AF23" s="129">
        <v>4</v>
      </c>
      <c r="AG23" s="129">
        <v>4</v>
      </c>
      <c r="AH23" s="129">
        <v>4</v>
      </c>
      <c r="AI23" s="124" t="s">
        <v>20</v>
      </c>
      <c r="AJ23" s="129">
        <v>9</v>
      </c>
      <c r="AK23" s="129">
        <v>9</v>
      </c>
      <c r="AL23" s="129">
        <v>9</v>
      </c>
      <c r="AM23" s="129">
        <v>9</v>
      </c>
      <c r="AN23" s="129">
        <v>9</v>
      </c>
      <c r="AO23" s="129">
        <v>9</v>
      </c>
      <c r="AP23" s="129">
        <v>9</v>
      </c>
      <c r="AQ23" s="129">
        <v>9</v>
      </c>
      <c r="AR23" s="129">
        <v>9</v>
      </c>
      <c r="AS23" s="129">
        <v>9</v>
      </c>
      <c r="AT23" s="129">
        <v>9</v>
      </c>
      <c r="AU23" s="129">
        <v>9</v>
      </c>
      <c r="AV23" s="129">
        <v>9</v>
      </c>
      <c r="AW23" s="129">
        <v>9</v>
      </c>
      <c r="AX23" s="129">
        <v>9</v>
      </c>
      <c r="AY23" s="129">
        <v>9</v>
      </c>
      <c r="AZ23" s="129">
        <v>9</v>
      </c>
      <c r="BA23" s="129">
        <v>9</v>
      </c>
      <c r="BB23" s="129">
        <v>9</v>
      </c>
      <c r="BC23" s="129">
        <v>9</v>
      </c>
      <c r="BD23" s="129">
        <v>9</v>
      </c>
      <c r="BE23" s="124" t="s">
        <v>283</v>
      </c>
      <c r="BF23" s="124" t="s">
        <v>283</v>
      </c>
      <c r="BG23" s="124" t="s">
        <v>283</v>
      </c>
      <c r="BH23" s="124"/>
      <c r="BI23" s="129">
        <v>9</v>
      </c>
      <c r="BJ23" s="124" t="s">
        <v>188</v>
      </c>
      <c r="BK23" s="124" t="s">
        <v>283</v>
      </c>
      <c r="BL23" s="124" t="s">
        <v>20</v>
      </c>
      <c r="BM23" s="124" t="s">
        <v>283</v>
      </c>
      <c r="BN23" s="129">
        <v>9</v>
      </c>
      <c r="BO23" s="124"/>
      <c r="BP23" s="124"/>
      <c r="BQ23" s="124"/>
      <c r="BR23" s="129"/>
      <c r="BS23" s="129"/>
      <c r="BT23" s="129"/>
      <c r="BU23" s="124"/>
      <c r="BV23" s="124"/>
      <c r="BW23" s="124"/>
      <c r="BX23" s="124"/>
      <c r="BY23" s="124"/>
      <c r="BZ23" s="129">
        <v>1</v>
      </c>
      <c r="CA23" s="124">
        <f t="shared" si="0"/>
        <v>5</v>
      </c>
      <c r="CB23" s="129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</row>
    <row r="24" spans="1:113" ht="12.75" x14ac:dyDescent="0.2">
      <c r="A24" s="128">
        <v>43587.553258981483</v>
      </c>
      <c r="B24" s="124" t="s">
        <v>284</v>
      </c>
      <c r="C24" s="124" t="s">
        <v>9</v>
      </c>
      <c r="D24" s="124" t="s">
        <v>16</v>
      </c>
      <c r="E24" s="124" t="s">
        <v>20</v>
      </c>
      <c r="F24" s="124" t="s">
        <v>26</v>
      </c>
      <c r="G24" s="124" t="s">
        <v>29</v>
      </c>
      <c r="H24" s="126" t="s">
        <v>41</v>
      </c>
      <c r="I24" s="124"/>
      <c r="J24" s="124" t="s">
        <v>23</v>
      </c>
      <c r="K24" s="124" t="s">
        <v>285</v>
      </c>
      <c r="L24" s="124" t="s">
        <v>61</v>
      </c>
      <c r="M24" s="129">
        <v>4</v>
      </c>
      <c r="N24" s="129">
        <v>3</v>
      </c>
      <c r="O24" s="129">
        <v>2</v>
      </c>
      <c r="P24" s="129">
        <v>4</v>
      </c>
      <c r="Q24" s="129">
        <v>5</v>
      </c>
      <c r="R24" s="129">
        <v>9</v>
      </c>
      <c r="S24" s="129">
        <v>5</v>
      </c>
      <c r="T24" s="129">
        <v>4</v>
      </c>
      <c r="U24" s="129">
        <v>4</v>
      </c>
      <c r="V24" s="129">
        <v>4</v>
      </c>
      <c r="W24" s="129">
        <v>9</v>
      </c>
      <c r="X24" s="129">
        <v>3</v>
      </c>
      <c r="Y24" s="129">
        <v>5</v>
      </c>
      <c r="Z24" s="129">
        <v>5</v>
      </c>
      <c r="AA24" s="129">
        <v>5</v>
      </c>
      <c r="AB24" s="129">
        <v>4</v>
      </c>
      <c r="AC24" s="129">
        <v>4</v>
      </c>
      <c r="AD24" s="129">
        <v>4</v>
      </c>
      <c r="AE24" s="129">
        <v>4</v>
      </c>
      <c r="AF24" s="129">
        <v>4</v>
      </c>
      <c r="AG24" s="129">
        <v>4</v>
      </c>
      <c r="AH24" s="129">
        <v>5</v>
      </c>
      <c r="AI24" s="124" t="s">
        <v>20</v>
      </c>
      <c r="AJ24" s="129">
        <v>9</v>
      </c>
      <c r="AK24" s="129">
        <v>9</v>
      </c>
      <c r="AL24" s="129">
        <v>9</v>
      </c>
      <c r="AM24" s="129">
        <v>9</v>
      </c>
      <c r="AN24" s="129">
        <v>9</v>
      </c>
      <c r="AO24" s="129">
        <v>9</v>
      </c>
      <c r="AP24" s="129">
        <v>9</v>
      </c>
      <c r="AQ24" s="129">
        <v>9</v>
      </c>
      <c r="AR24" s="129">
        <v>9</v>
      </c>
      <c r="AS24" s="129">
        <v>9</v>
      </c>
      <c r="AT24" s="129">
        <v>9</v>
      </c>
      <c r="AU24" s="129">
        <v>9</v>
      </c>
      <c r="AV24" s="129">
        <v>9</v>
      </c>
      <c r="AW24" s="129">
        <v>9</v>
      </c>
      <c r="AX24" s="129">
        <v>9</v>
      </c>
      <c r="AY24" s="129">
        <v>9</v>
      </c>
      <c r="AZ24" s="129">
        <v>9</v>
      </c>
      <c r="BA24" s="129">
        <v>9</v>
      </c>
      <c r="BB24" s="129">
        <v>9</v>
      </c>
      <c r="BC24" s="129">
        <v>9</v>
      </c>
      <c r="BD24" s="129">
        <v>9</v>
      </c>
      <c r="BE24" s="124" t="s">
        <v>283</v>
      </c>
      <c r="BF24" s="124" t="s">
        <v>283</v>
      </c>
      <c r="BG24" s="124" t="s">
        <v>283</v>
      </c>
      <c r="BH24" s="124"/>
      <c r="BI24" s="129">
        <v>9</v>
      </c>
      <c r="BJ24" s="124" t="s">
        <v>188</v>
      </c>
      <c r="BK24" s="124" t="s">
        <v>283</v>
      </c>
      <c r="BL24" s="124" t="s">
        <v>20</v>
      </c>
      <c r="BM24" s="124" t="s">
        <v>283</v>
      </c>
      <c r="BN24" s="129">
        <v>9</v>
      </c>
      <c r="BO24" s="124"/>
      <c r="BP24" s="124"/>
      <c r="BQ24" s="124"/>
      <c r="BR24" s="129"/>
      <c r="BS24" s="129"/>
      <c r="BT24" s="129"/>
      <c r="BU24" s="124"/>
      <c r="BV24" s="124"/>
      <c r="BW24" s="124"/>
      <c r="BX24" s="124"/>
      <c r="BY24" s="124"/>
      <c r="BZ24" s="129">
        <v>1</v>
      </c>
      <c r="CA24" s="124">
        <f t="shared" si="0"/>
        <v>5</v>
      </c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</row>
    <row r="25" spans="1:113" ht="12.75" x14ac:dyDescent="0.2">
      <c r="A25" s="128">
        <v>43587.555670844908</v>
      </c>
      <c r="B25" s="124" t="s">
        <v>284</v>
      </c>
      <c r="C25" s="124" t="s">
        <v>9</v>
      </c>
      <c r="D25" s="124" t="s">
        <v>19</v>
      </c>
      <c r="E25" s="124" t="s">
        <v>18</v>
      </c>
      <c r="F25" s="124" t="s">
        <v>25</v>
      </c>
      <c r="G25" s="124" t="s">
        <v>31</v>
      </c>
      <c r="H25" s="124" t="s">
        <v>38</v>
      </c>
      <c r="I25" s="124" t="s">
        <v>43</v>
      </c>
      <c r="J25" s="124" t="s">
        <v>52</v>
      </c>
      <c r="K25" s="124" t="s">
        <v>287</v>
      </c>
      <c r="L25" s="124" t="s">
        <v>61</v>
      </c>
      <c r="M25" s="129">
        <v>5</v>
      </c>
      <c r="N25" s="129">
        <v>4</v>
      </c>
      <c r="O25" s="129">
        <v>3</v>
      </c>
      <c r="P25" s="129">
        <v>5</v>
      </c>
      <c r="Q25" s="129">
        <v>9</v>
      </c>
      <c r="R25" s="129">
        <v>4</v>
      </c>
      <c r="S25" s="129">
        <v>5</v>
      </c>
      <c r="T25" s="129">
        <v>5</v>
      </c>
      <c r="U25" s="129">
        <v>5</v>
      </c>
      <c r="V25" s="129">
        <v>5</v>
      </c>
      <c r="W25" s="129">
        <v>5</v>
      </c>
      <c r="X25" s="129">
        <v>4</v>
      </c>
      <c r="Y25" s="129">
        <v>4</v>
      </c>
      <c r="Z25" s="129">
        <v>5</v>
      </c>
      <c r="AA25" s="129">
        <v>5</v>
      </c>
      <c r="AB25" s="129">
        <v>5</v>
      </c>
      <c r="AC25" s="129">
        <v>5</v>
      </c>
      <c r="AD25" s="129">
        <v>4</v>
      </c>
      <c r="AE25" s="129">
        <v>5</v>
      </c>
      <c r="AF25" s="129">
        <v>5</v>
      </c>
      <c r="AG25" s="129">
        <v>5</v>
      </c>
      <c r="AH25" s="129">
        <v>5</v>
      </c>
      <c r="AI25" s="124" t="s">
        <v>18</v>
      </c>
      <c r="AJ25" s="129">
        <v>5</v>
      </c>
      <c r="AK25" s="129">
        <v>4</v>
      </c>
      <c r="AL25" s="129">
        <v>2</v>
      </c>
      <c r="AM25" s="129">
        <v>5</v>
      </c>
      <c r="AN25" s="129">
        <v>5</v>
      </c>
      <c r="AO25" s="129">
        <v>5</v>
      </c>
      <c r="AP25" s="129">
        <v>5</v>
      </c>
      <c r="AQ25" s="129">
        <v>9</v>
      </c>
      <c r="AR25" s="129">
        <v>5</v>
      </c>
      <c r="AS25" s="129">
        <v>4</v>
      </c>
      <c r="AT25" s="129">
        <v>5</v>
      </c>
      <c r="AU25" s="129">
        <v>5</v>
      </c>
      <c r="AV25" s="129">
        <v>5</v>
      </c>
      <c r="AW25" s="129">
        <v>5</v>
      </c>
      <c r="AX25" s="129">
        <v>4</v>
      </c>
      <c r="AY25" s="129">
        <v>9</v>
      </c>
      <c r="AZ25" s="129">
        <v>9</v>
      </c>
      <c r="BA25" s="129">
        <v>9</v>
      </c>
      <c r="BB25" s="129">
        <v>9</v>
      </c>
      <c r="BC25" s="129">
        <v>9</v>
      </c>
      <c r="BD25" s="129">
        <v>9</v>
      </c>
      <c r="BE25" s="129">
        <v>3</v>
      </c>
      <c r="BF25" s="129">
        <v>0</v>
      </c>
      <c r="BG25" s="129">
        <v>2</v>
      </c>
      <c r="BH25" s="124"/>
      <c r="BI25" s="129">
        <v>1</v>
      </c>
      <c r="BJ25" s="130" t="s">
        <v>188</v>
      </c>
      <c r="BK25" s="124" t="s">
        <v>197</v>
      </c>
      <c r="BL25" s="124" t="s">
        <v>18</v>
      </c>
      <c r="BM25" s="124" t="s">
        <v>20</v>
      </c>
      <c r="BN25" s="129">
        <v>9</v>
      </c>
      <c r="BO25" s="124"/>
      <c r="BP25" s="124"/>
      <c r="BQ25" s="124"/>
      <c r="BR25" s="129"/>
      <c r="BS25" s="129"/>
      <c r="BT25" s="129"/>
      <c r="BU25" s="124"/>
      <c r="BV25" s="124"/>
      <c r="BW25" s="124"/>
      <c r="BX25" s="124"/>
      <c r="BY25" s="124"/>
      <c r="BZ25" s="129">
        <v>1</v>
      </c>
      <c r="CA25" s="124">
        <f t="shared" si="0"/>
        <v>5</v>
      </c>
      <c r="CB25" s="129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</row>
    <row r="26" spans="1:113" ht="12.75" x14ac:dyDescent="0.2">
      <c r="A26" s="128">
        <v>43587.557954004631</v>
      </c>
      <c r="B26" s="124" t="s">
        <v>280</v>
      </c>
      <c r="C26" s="124" t="s">
        <v>9</v>
      </c>
      <c r="D26" s="124" t="s">
        <v>16</v>
      </c>
      <c r="E26" s="124" t="s">
        <v>20</v>
      </c>
      <c r="F26" s="124" t="s">
        <v>26</v>
      </c>
      <c r="G26" s="124" t="s">
        <v>29</v>
      </c>
      <c r="H26" s="124" t="s">
        <v>38</v>
      </c>
      <c r="I26" s="124" t="s">
        <v>43</v>
      </c>
      <c r="J26" s="124" t="s">
        <v>52</v>
      </c>
      <c r="K26" s="124" t="s">
        <v>64</v>
      </c>
      <c r="L26" s="124" t="s">
        <v>64</v>
      </c>
      <c r="M26" s="129">
        <v>4</v>
      </c>
      <c r="N26" s="129">
        <v>3</v>
      </c>
      <c r="O26" s="129">
        <v>2</v>
      </c>
      <c r="P26" s="129">
        <v>5</v>
      </c>
      <c r="Q26" s="129">
        <v>5</v>
      </c>
      <c r="R26" s="129">
        <v>9</v>
      </c>
      <c r="S26" s="129">
        <v>5</v>
      </c>
      <c r="T26" s="129">
        <v>5</v>
      </c>
      <c r="U26" s="129">
        <v>5</v>
      </c>
      <c r="V26" s="129">
        <v>5</v>
      </c>
      <c r="W26" s="129">
        <v>5</v>
      </c>
      <c r="X26" s="129">
        <v>3</v>
      </c>
      <c r="Y26" s="129">
        <v>5</v>
      </c>
      <c r="Z26" s="129">
        <v>5</v>
      </c>
      <c r="AA26" s="129">
        <v>5</v>
      </c>
      <c r="AB26" s="129">
        <v>5</v>
      </c>
      <c r="AC26" s="129">
        <v>5</v>
      </c>
      <c r="AD26" s="129">
        <v>4</v>
      </c>
      <c r="AE26" s="129">
        <v>4</v>
      </c>
      <c r="AF26" s="129">
        <v>5</v>
      </c>
      <c r="AG26" s="129">
        <v>5</v>
      </c>
      <c r="AH26" s="129">
        <v>5</v>
      </c>
      <c r="AI26" s="124" t="s">
        <v>20</v>
      </c>
      <c r="AJ26" s="129">
        <v>9</v>
      </c>
      <c r="AK26" s="129">
        <v>4</v>
      </c>
      <c r="AL26" s="129">
        <v>1</v>
      </c>
      <c r="AM26" s="129">
        <v>5</v>
      </c>
      <c r="AN26" s="129">
        <v>5</v>
      </c>
      <c r="AO26" s="129">
        <v>5</v>
      </c>
      <c r="AP26" s="129">
        <v>4</v>
      </c>
      <c r="AQ26" s="129">
        <v>3</v>
      </c>
      <c r="AR26" s="129">
        <v>5</v>
      </c>
      <c r="AS26" s="129">
        <v>4</v>
      </c>
      <c r="AT26" s="129">
        <v>5</v>
      </c>
      <c r="AU26" s="129">
        <v>5</v>
      </c>
      <c r="AV26" s="129">
        <v>4</v>
      </c>
      <c r="AW26" s="129">
        <v>5</v>
      </c>
      <c r="AX26" s="129">
        <v>5</v>
      </c>
      <c r="AY26" s="129">
        <v>1</v>
      </c>
      <c r="AZ26" s="129">
        <v>9</v>
      </c>
      <c r="BA26" s="129">
        <v>1</v>
      </c>
      <c r="BB26" s="129">
        <v>1</v>
      </c>
      <c r="BC26" s="129">
        <v>5</v>
      </c>
      <c r="BD26" s="129">
        <v>4</v>
      </c>
      <c r="BE26" s="129">
        <v>6</v>
      </c>
      <c r="BF26" s="129">
        <v>0</v>
      </c>
      <c r="BG26" s="129">
        <v>2</v>
      </c>
      <c r="BH26" s="124"/>
      <c r="BI26" s="129">
        <v>1</v>
      </c>
      <c r="BJ26" s="124" t="s">
        <v>188</v>
      </c>
      <c r="BK26" s="124" t="s">
        <v>192</v>
      </c>
      <c r="BL26" s="124" t="s">
        <v>18</v>
      </c>
      <c r="BM26" s="124" t="s">
        <v>20</v>
      </c>
      <c r="BN26" s="129">
        <v>9</v>
      </c>
      <c r="BO26" s="124"/>
      <c r="BP26" s="124"/>
      <c r="BQ26" s="124"/>
      <c r="BR26" s="129"/>
      <c r="BS26" s="129"/>
      <c r="BT26" s="129"/>
      <c r="BU26" s="124"/>
      <c r="BV26" s="124"/>
      <c r="BW26" s="124"/>
      <c r="BX26" s="124"/>
      <c r="BY26" s="124"/>
      <c r="BZ26" s="129">
        <v>1</v>
      </c>
      <c r="CA26" s="124">
        <f t="shared" si="0"/>
        <v>5</v>
      </c>
      <c r="CB26" s="129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</row>
    <row r="27" spans="1:113" ht="13.5" customHeight="1" x14ac:dyDescent="0.2">
      <c r="A27" s="128">
        <v>43587.560137939814</v>
      </c>
      <c r="B27" s="124" t="s">
        <v>284</v>
      </c>
      <c r="C27" s="124" t="s">
        <v>9</v>
      </c>
      <c r="D27" s="124" t="s">
        <v>16</v>
      </c>
      <c r="E27" s="124" t="s">
        <v>20</v>
      </c>
      <c r="F27" s="124" t="s">
        <v>26</v>
      </c>
      <c r="G27" s="124" t="s">
        <v>31</v>
      </c>
      <c r="H27" s="126" t="s">
        <v>41</v>
      </c>
      <c r="I27" s="124"/>
      <c r="J27" s="124" t="s">
        <v>23</v>
      </c>
      <c r="K27" s="124" t="s">
        <v>285</v>
      </c>
      <c r="L27" s="124" t="s">
        <v>61</v>
      </c>
      <c r="M27" s="129">
        <v>4</v>
      </c>
      <c r="N27" s="129">
        <v>2</v>
      </c>
      <c r="O27" s="129">
        <v>2</v>
      </c>
      <c r="P27" s="129">
        <v>4</v>
      </c>
      <c r="Q27" s="129">
        <v>4</v>
      </c>
      <c r="R27" s="129">
        <v>9</v>
      </c>
      <c r="S27" s="129">
        <v>5</v>
      </c>
      <c r="T27" s="129">
        <v>5</v>
      </c>
      <c r="U27" s="129">
        <v>9</v>
      </c>
      <c r="V27" s="129">
        <v>9</v>
      </c>
      <c r="W27" s="129">
        <v>9</v>
      </c>
      <c r="X27" s="129">
        <v>3</v>
      </c>
      <c r="Y27" s="129">
        <v>5</v>
      </c>
      <c r="Z27" s="129">
        <v>5</v>
      </c>
      <c r="AA27" s="129">
        <v>5</v>
      </c>
      <c r="AB27" s="129">
        <v>5</v>
      </c>
      <c r="AC27" s="129">
        <v>4</v>
      </c>
      <c r="AD27" s="129">
        <v>4</v>
      </c>
      <c r="AE27" s="129">
        <v>4</v>
      </c>
      <c r="AF27" s="129">
        <v>4</v>
      </c>
      <c r="AG27" s="129">
        <v>4</v>
      </c>
      <c r="AH27" s="129">
        <v>4</v>
      </c>
      <c r="AI27" s="124" t="s">
        <v>20</v>
      </c>
      <c r="AJ27" s="129">
        <v>9</v>
      </c>
      <c r="AK27" s="129">
        <v>9</v>
      </c>
      <c r="AL27" s="129">
        <v>9</v>
      </c>
      <c r="AM27" s="129">
        <v>9</v>
      </c>
      <c r="AN27" s="129">
        <v>9</v>
      </c>
      <c r="AO27" s="129">
        <v>9</v>
      </c>
      <c r="AP27" s="129">
        <v>9</v>
      </c>
      <c r="AQ27" s="129">
        <v>9</v>
      </c>
      <c r="AR27" s="129">
        <v>9</v>
      </c>
      <c r="AS27" s="129">
        <v>9</v>
      </c>
      <c r="AT27" s="129">
        <v>9</v>
      </c>
      <c r="AU27" s="129">
        <v>9</v>
      </c>
      <c r="AV27" s="129">
        <v>9</v>
      </c>
      <c r="AW27" s="129">
        <v>9</v>
      </c>
      <c r="AX27" s="129">
        <v>9</v>
      </c>
      <c r="AY27" s="129">
        <v>9</v>
      </c>
      <c r="AZ27" s="129">
        <v>9</v>
      </c>
      <c r="BA27" s="129">
        <v>9</v>
      </c>
      <c r="BB27" s="129">
        <v>9</v>
      </c>
      <c r="BC27" s="129">
        <v>9</v>
      </c>
      <c r="BD27" s="129">
        <v>9</v>
      </c>
      <c r="BE27" s="124" t="s">
        <v>283</v>
      </c>
      <c r="BF27" s="124" t="s">
        <v>283</v>
      </c>
      <c r="BG27" s="124" t="s">
        <v>283</v>
      </c>
      <c r="BH27" s="124" t="s">
        <v>197</v>
      </c>
      <c r="BI27" s="129">
        <v>9</v>
      </c>
      <c r="BJ27" s="124" t="s">
        <v>188</v>
      </c>
      <c r="BK27" s="124" t="s">
        <v>197</v>
      </c>
      <c r="BL27" s="124" t="s">
        <v>20</v>
      </c>
      <c r="BM27" s="124" t="s">
        <v>283</v>
      </c>
      <c r="BN27" s="129">
        <v>9</v>
      </c>
      <c r="BO27" s="124"/>
      <c r="BP27" s="124"/>
      <c r="BQ27" s="124"/>
      <c r="BR27" s="129"/>
      <c r="BS27" s="129"/>
      <c r="BT27" s="129"/>
      <c r="BU27" s="124"/>
      <c r="BV27" s="124"/>
      <c r="BW27" s="124"/>
      <c r="BX27" s="124"/>
      <c r="BY27" s="124"/>
      <c r="BZ27" s="129">
        <v>1</v>
      </c>
      <c r="CA27" s="124">
        <f t="shared" si="0"/>
        <v>5</v>
      </c>
      <c r="CB27" s="129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</row>
    <row r="28" spans="1:113" ht="12.75" x14ac:dyDescent="0.2">
      <c r="A28" s="128">
        <v>43587.562315821764</v>
      </c>
      <c r="B28" s="124" t="s">
        <v>280</v>
      </c>
      <c r="C28" s="124" t="s">
        <v>11</v>
      </c>
      <c r="D28" s="124" t="s">
        <v>19</v>
      </c>
      <c r="E28" s="124" t="s">
        <v>18</v>
      </c>
      <c r="F28" s="124" t="s">
        <v>25</v>
      </c>
      <c r="G28" s="124" t="s">
        <v>32</v>
      </c>
      <c r="H28" s="124" t="s">
        <v>38</v>
      </c>
      <c r="I28" s="124" t="s">
        <v>43</v>
      </c>
      <c r="J28" s="124" t="s">
        <v>53</v>
      </c>
      <c r="K28" s="124" t="s">
        <v>64</v>
      </c>
      <c r="L28" s="124" t="s">
        <v>64</v>
      </c>
      <c r="M28" s="129">
        <v>5</v>
      </c>
      <c r="N28" s="129">
        <v>4</v>
      </c>
      <c r="O28" s="129">
        <v>3</v>
      </c>
      <c r="P28" s="129">
        <v>5</v>
      </c>
      <c r="Q28" s="129">
        <v>9</v>
      </c>
      <c r="R28" s="129">
        <v>5</v>
      </c>
      <c r="S28" s="129">
        <v>5</v>
      </c>
      <c r="T28" s="129">
        <v>5</v>
      </c>
      <c r="U28" s="129">
        <v>5</v>
      </c>
      <c r="V28" s="129">
        <v>5</v>
      </c>
      <c r="W28" s="129">
        <v>5</v>
      </c>
      <c r="X28" s="129">
        <v>5</v>
      </c>
      <c r="Y28" s="129">
        <v>5</v>
      </c>
      <c r="Z28" s="129">
        <v>5</v>
      </c>
      <c r="AA28" s="129">
        <v>5</v>
      </c>
      <c r="AB28" s="129">
        <v>4</v>
      </c>
      <c r="AC28" s="129">
        <v>5</v>
      </c>
      <c r="AD28" s="129">
        <v>5</v>
      </c>
      <c r="AE28" s="129">
        <v>5</v>
      </c>
      <c r="AF28" s="129">
        <v>5</v>
      </c>
      <c r="AG28" s="129">
        <v>5</v>
      </c>
      <c r="AH28" s="129">
        <v>5</v>
      </c>
      <c r="AI28" s="124" t="s">
        <v>18</v>
      </c>
      <c r="AJ28" s="129">
        <v>4</v>
      </c>
      <c r="AK28" s="129">
        <v>5</v>
      </c>
      <c r="AL28" s="129">
        <v>2</v>
      </c>
      <c r="AM28" s="129">
        <v>5</v>
      </c>
      <c r="AN28" s="129">
        <v>5</v>
      </c>
      <c r="AO28" s="129">
        <v>5</v>
      </c>
      <c r="AP28" s="129">
        <v>4</v>
      </c>
      <c r="AQ28" s="129">
        <v>4</v>
      </c>
      <c r="AR28" s="129">
        <v>5</v>
      </c>
      <c r="AS28" s="129">
        <v>5</v>
      </c>
      <c r="AT28" s="129">
        <v>5</v>
      </c>
      <c r="AU28" s="129">
        <v>5</v>
      </c>
      <c r="AV28" s="129">
        <v>5</v>
      </c>
      <c r="AW28" s="129">
        <v>5</v>
      </c>
      <c r="AX28" s="129">
        <v>5</v>
      </c>
      <c r="AY28" s="129">
        <v>1</v>
      </c>
      <c r="AZ28" s="129">
        <v>2</v>
      </c>
      <c r="BA28" s="129">
        <v>1</v>
      </c>
      <c r="BB28" s="129">
        <v>1</v>
      </c>
      <c r="BC28" s="129">
        <v>5</v>
      </c>
      <c r="BD28" s="129">
        <v>5</v>
      </c>
      <c r="BE28" s="129">
        <v>4</v>
      </c>
      <c r="BF28" s="129">
        <v>0</v>
      </c>
      <c r="BG28" s="129">
        <v>4</v>
      </c>
      <c r="BH28" s="124"/>
      <c r="BI28" s="129">
        <v>1</v>
      </c>
      <c r="BJ28" s="124" t="s">
        <v>190</v>
      </c>
      <c r="BK28" s="124" t="s">
        <v>192</v>
      </c>
      <c r="BL28" s="124" t="s">
        <v>18</v>
      </c>
      <c r="BM28" s="124" t="s">
        <v>20</v>
      </c>
      <c r="BN28" s="129">
        <v>9</v>
      </c>
      <c r="BO28" s="124"/>
      <c r="BP28" s="124"/>
      <c r="BQ28" s="124"/>
      <c r="BR28" s="129"/>
      <c r="BS28" s="129"/>
      <c r="BT28" s="129"/>
      <c r="BU28" s="124"/>
      <c r="BV28" s="124"/>
      <c r="BW28" s="124"/>
      <c r="BX28" s="124"/>
      <c r="BY28" s="124"/>
      <c r="BZ28" s="129">
        <v>1</v>
      </c>
      <c r="CA28" s="124">
        <f t="shared" si="0"/>
        <v>5</v>
      </c>
      <c r="CB28" s="129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</row>
    <row r="29" spans="1:113" ht="12.75" x14ac:dyDescent="0.2">
      <c r="A29" s="128">
        <v>43587.56453664352</v>
      </c>
      <c r="B29" s="124" t="s">
        <v>284</v>
      </c>
      <c r="C29" s="124" t="s">
        <v>9</v>
      </c>
      <c r="D29" s="124" t="s">
        <v>16</v>
      </c>
      <c r="E29" s="124" t="s">
        <v>20</v>
      </c>
      <c r="F29" s="124" t="s">
        <v>26</v>
      </c>
      <c r="G29" s="124" t="s">
        <v>31</v>
      </c>
      <c r="H29" s="126" t="s">
        <v>41</v>
      </c>
      <c r="I29" s="124"/>
      <c r="J29" s="124" t="s">
        <v>23</v>
      </c>
      <c r="K29" s="124" t="s">
        <v>64</v>
      </c>
      <c r="L29" s="124" t="s">
        <v>62</v>
      </c>
      <c r="M29" s="129">
        <v>5</v>
      </c>
      <c r="N29" s="129">
        <v>3</v>
      </c>
      <c r="O29" s="129">
        <v>3</v>
      </c>
      <c r="P29" s="129">
        <v>4</v>
      </c>
      <c r="Q29" s="129">
        <v>5</v>
      </c>
      <c r="R29" s="129">
        <v>9</v>
      </c>
      <c r="S29" s="129">
        <v>5</v>
      </c>
      <c r="T29" s="129">
        <v>5</v>
      </c>
      <c r="U29" s="129">
        <v>4</v>
      </c>
      <c r="V29" s="129">
        <v>5</v>
      </c>
      <c r="W29" s="129">
        <v>5</v>
      </c>
      <c r="X29" s="129">
        <v>3</v>
      </c>
      <c r="Y29" s="129">
        <v>5</v>
      </c>
      <c r="Z29" s="129">
        <v>5</v>
      </c>
      <c r="AA29" s="129">
        <v>5</v>
      </c>
      <c r="AB29" s="129">
        <v>4</v>
      </c>
      <c r="AC29" s="129">
        <v>5</v>
      </c>
      <c r="AD29" s="129">
        <v>5</v>
      </c>
      <c r="AE29" s="129">
        <v>4</v>
      </c>
      <c r="AF29" s="129">
        <v>5</v>
      </c>
      <c r="AG29" s="129">
        <v>5</v>
      </c>
      <c r="AH29" s="129">
        <v>5</v>
      </c>
      <c r="AI29" s="124" t="s">
        <v>18</v>
      </c>
      <c r="AJ29" s="129">
        <v>5</v>
      </c>
      <c r="AK29" s="129">
        <v>4</v>
      </c>
      <c r="AL29" s="129">
        <v>1</v>
      </c>
      <c r="AM29" s="129">
        <v>5</v>
      </c>
      <c r="AN29" s="129">
        <v>5</v>
      </c>
      <c r="AO29" s="129">
        <v>5</v>
      </c>
      <c r="AP29" s="129">
        <v>4</v>
      </c>
      <c r="AQ29" s="129">
        <v>4</v>
      </c>
      <c r="AR29" s="129">
        <v>4</v>
      </c>
      <c r="AS29" s="129">
        <v>3</v>
      </c>
      <c r="AT29" s="129">
        <v>5</v>
      </c>
      <c r="AU29" s="129">
        <v>5</v>
      </c>
      <c r="AV29" s="129">
        <v>5</v>
      </c>
      <c r="AW29" s="129">
        <v>5</v>
      </c>
      <c r="AX29" s="129">
        <v>5</v>
      </c>
      <c r="AY29" s="129">
        <v>1</v>
      </c>
      <c r="AZ29" s="129">
        <v>2</v>
      </c>
      <c r="BA29" s="129">
        <v>1</v>
      </c>
      <c r="BB29" s="129">
        <v>1</v>
      </c>
      <c r="BC29" s="129">
        <v>4</v>
      </c>
      <c r="BD29" s="129">
        <v>5</v>
      </c>
      <c r="BE29" s="129">
        <v>4</v>
      </c>
      <c r="BF29" s="129">
        <v>0</v>
      </c>
      <c r="BG29" s="129">
        <v>1</v>
      </c>
      <c r="BH29" s="124"/>
      <c r="BI29" s="129">
        <v>1</v>
      </c>
      <c r="BJ29" s="124" t="s">
        <v>190</v>
      </c>
      <c r="BK29" s="124" t="s">
        <v>192</v>
      </c>
      <c r="BL29" s="124" t="s">
        <v>18</v>
      </c>
      <c r="BM29" s="124" t="s">
        <v>20</v>
      </c>
      <c r="BN29" s="129">
        <v>9</v>
      </c>
      <c r="BO29" s="124"/>
      <c r="BP29" s="124"/>
      <c r="BQ29" s="124"/>
      <c r="BR29" s="129"/>
      <c r="BS29" s="129"/>
      <c r="BT29" s="129"/>
      <c r="BU29" s="124"/>
      <c r="BV29" s="124"/>
      <c r="BW29" s="124"/>
      <c r="BX29" s="124"/>
      <c r="BY29" s="124"/>
      <c r="BZ29" s="129">
        <v>1</v>
      </c>
      <c r="CA29" s="124">
        <f t="shared" si="0"/>
        <v>5</v>
      </c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</row>
    <row r="30" spans="1:113" ht="12.75" x14ac:dyDescent="0.2">
      <c r="A30" s="128">
        <v>43587.572072511575</v>
      </c>
      <c r="B30" s="124" t="s">
        <v>286</v>
      </c>
      <c r="C30" s="124" t="s">
        <v>9</v>
      </c>
      <c r="D30" s="124" t="s">
        <v>16</v>
      </c>
      <c r="E30" s="124" t="s">
        <v>20</v>
      </c>
      <c r="F30" s="124" t="s">
        <v>25</v>
      </c>
      <c r="G30" s="124" t="s">
        <v>29</v>
      </c>
      <c r="H30" s="124" t="s">
        <v>38</v>
      </c>
      <c r="I30" s="124" t="s">
        <v>43</v>
      </c>
      <c r="J30" s="124" t="s">
        <v>53</v>
      </c>
      <c r="K30" s="124" t="s">
        <v>64</v>
      </c>
      <c r="L30" s="124" t="s">
        <v>64</v>
      </c>
      <c r="M30" s="129">
        <v>4</v>
      </c>
      <c r="N30" s="129">
        <v>4</v>
      </c>
      <c r="O30" s="129">
        <v>3</v>
      </c>
      <c r="P30" s="129">
        <v>5</v>
      </c>
      <c r="Q30" s="129">
        <v>5</v>
      </c>
      <c r="R30" s="129">
        <v>9</v>
      </c>
      <c r="S30" s="129">
        <v>5</v>
      </c>
      <c r="T30" s="129">
        <v>4</v>
      </c>
      <c r="U30" s="129">
        <v>5</v>
      </c>
      <c r="V30" s="129">
        <v>5</v>
      </c>
      <c r="W30" s="129">
        <v>5</v>
      </c>
      <c r="X30" s="129">
        <v>3</v>
      </c>
      <c r="Y30" s="129">
        <v>5</v>
      </c>
      <c r="Z30" s="129">
        <v>5</v>
      </c>
      <c r="AA30" s="129">
        <v>5</v>
      </c>
      <c r="AB30" s="129">
        <v>4</v>
      </c>
      <c r="AC30" s="129">
        <v>4</v>
      </c>
      <c r="AD30" s="129">
        <v>4</v>
      </c>
      <c r="AE30" s="129">
        <v>5</v>
      </c>
      <c r="AF30" s="129">
        <v>5</v>
      </c>
      <c r="AG30" s="129">
        <v>5</v>
      </c>
      <c r="AH30" s="129">
        <v>5</v>
      </c>
      <c r="AI30" s="124" t="s">
        <v>18</v>
      </c>
      <c r="AJ30" s="129">
        <v>4</v>
      </c>
      <c r="AK30" s="129">
        <v>4</v>
      </c>
      <c r="AL30" s="129">
        <v>1</v>
      </c>
      <c r="AM30" s="129">
        <v>4</v>
      </c>
      <c r="AN30" s="129">
        <v>5</v>
      </c>
      <c r="AO30" s="129">
        <v>5</v>
      </c>
      <c r="AP30" s="129">
        <v>5</v>
      </c>
      <c r="AQ30" s="129">
        <v>4</v>
      </c>
      <c r="AR30" s="129">
        <v>5</v>
      </c>
      <c r="AS30" s="129">
        <v>4</v>
      </c>
      <c r="AT30" s="129">
        <v>5</v>
      </c>
      <c r="AU30" s="129">
        <v>5</v>
      </c>
      <c r="AV30" s="129">
        <v>4</v>
      </c>
      <c r="AW30" s="129">
        <v>5</v>
      </c>
      <c r="AX30" s="129">
        <v>5</v>
      </c>
      <c r="AY30" s="129">
        <v>1</v>
      </c>
      <c r="AZ30" s="129">
        <v>2</v>
      </c>
      <c r="BA30" s="129">
        <v>1</v>
      </c>
      <c r="BB30" s="129">
        <v>1</v>
      </c>
      <c r="BC30" s="129">
        <v>4</v>
      </c>
      <c r="BD30" s="129">
        <v>4</v>
      </c>
      <c r="BE30" s="129">
        <v>5</v>
      </c>
      <c r="BF30" s="124" t="s">
        <v>283</v>
      </c>
      <c r="BG30" s="129">
        <v>3</v>
      </c>
      <c r="BH30" s="124"/>
      <c r="BI30" s="129">
        <v>1</v>
      </c>
      <c r="BJ30" s="124" t="s">
        <v>188</v>
      </c>
      <c r="BK30" s="124" t="s">
        <v>192</v>
      </c>
      <c r="BL30" s="124" t="s">
        <v>18</v>
      </c>
      <c r="BM30" s="124" t="s">
        <v>20</v>
      </c>
      <c r="BN30" s="129">
        <v>9</v>
      </c>
      <c r="BO30" s="124"/>
      <c r="BP30" s="124"/>
      <c r="BQ30" s="124"/>
      <c r="BR30" s="129"/>
      <c r="BS30" s="129"/>
      <c r="BT30" s="129"/>
      <c r="BU30" s="124"/>
      <c r="BV30" s="124"/>
      <c r="BW30" s="124"/>
      <c r="BX30" s="124"/>
      <c r="BY30" s="124"/>
      <c r="BZ30" s="129">
        <v>1</v>
      </c>
      <c r="CA30" s="124">
        <f t="shared" si="0"/>
        <v>5</v>
      </c>
      <c r="CB30" s="129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</row>
    <row r="31" spans="1:113" ht="12.75" x14ac:dyDescent="0.2">
      <c r="A31" s="128">
        <v>43587.576511145831</v>
      </c>
      <c r="B31" s="124" t="s">
        <v>284</v>
      </c>
      <c r="C31" s="124" t="s">
        <v>11</v>
      </c>
      <c r="D31" s="124" t="s">
        <v>19</v>
      </c>
      <c r="E31" s="124" t="s">
        <v>18</v>
      </c>
      <c r="F31" s="124" t="s">
        <v>25</v>
      </c>
      <c r="G31" s="124" t="s">
        <v>31</v>
      </c>
      <c r="H31" s="126" t="s">
        <v>41</v>
      </c>
      <c r="I31" s="124"/>
      <c r="J31" s="124" t="s">
        <v>23</v>
      </c>
      <c r="K31" s="124" t="s">
        <v>285</v>
      </c>
      <c r="L31" s="124" t="s">
        <v>61</v>
      </c>
      <c r="M31" s="129">
        <v>4</v>
      </c>
      <c r="N31" s="129">
        <v>3</v>
      </c>
      <c r="O31" s="129">
        <v>3</v>
      </c>
      <c r="P31" s="129">
        <v>5</v>
      </c>
      <c r="Q31" s="129">
        <v>5</v>
      </c>
      <c r="R31" s="129">
        <v>9</v>
      </c>
      <c r="S31" s="129">
        <v>5</v>
      </c>
      <c r="T31" s="129">
        <v>5</v>
      </c>
      <c r="U31" s="129">
        <v>5</v>
      </c>
      <c r="V31" s="129">
        <v>4</v>
      </c>
      <c r="W31" s="129">
        <v>9</v>
      </c>
      <c r="X31" s="129">
        <v>3</v>
      </c>
      <c r="Y31" s="129">
        <v>5</v>
      </c>
      <c r="Z31" s="129">
        <v>5</v>
      </c>
      <c r="AA31" s="129">
        <v>5</v>
      </c>
      <c r="AB31" s="129">
        <v>5</v>
      </c>
      <c r="AC31" s="129">
        <v>4</v>
      </c>
      <c r="AD31" s="129">
        <v>5</v>
      </c>
      <c r="AE31" s="129">
        <v>5</v>
      </c>
      <c r="AF31" s="129">
        <v>5</v>
      </c>
      <c r="AG31" s="129">
        <v>5</v>
      </c>
      <c r="AH31" s="129">
        <v>5</v>
      </c>
      <c r="AI31" s="124" t="s">
        <v>18</v>
      </c>
      <c r="AJ31" s="129">
        <v>5</v>
      </c>
      <c r="AK31" s="129">
        <v>9</v>
      </c>
      <c r="AL31" s="129">
        <v>9</v>
      </c>
      <c r="AM31" s="129">
        <v>9</v>
      </c>
      <c r="AN31" s="129">
        <v>9</v>
      </c>
      <c r="AO31" s="129">
        <v>9</v>
      </c>
      <c r="AP31" s="129">
        <v>9</v>
      </c>
      <c r="AQ31" s="129">
        <v>9</v>
      </c>
      <c r="AR31" s="129">
        <v>9</v>
      </c>
      <c r="AS31" s="129">
        <v>9</v>
      </c>
      <c r="AT31" s="129">
        <v>9</v>
      </c>
      <c r="AU31" s="129">
        <v>9</v>
      </c>
      <c r="AV31" s="129">
        <v>9</v>
      </c>
      <c r="AW31" s="129">
        <v>9</v>
      </c>
      <c r="AX31" s="129">
        <v>9</v>
      </c>
      <c r="AY31" s="129">
        <v>9</v>
      </c>
      <c r="AZ31" s="129">
        <v>9</v>
      </c>
      <c r="BA31" s="129">
        <v>9</v>
      </c>
      <c r="BB31" s="129">
        <v>9</v>
      </c>
      <c r="BC31" s="129">
        <v>9</v>
      </c>
      <c r="BD31" s="129">
        <v>9</v>
      </c>
      <c r="BE31" s="124" t="s">
        <v>283</v>
      </c>
      <c r="BF31" s="124" t="s">
        <v>283</v>
      </c>
      <c r="BG31" s="124" t="s">
        <v>283</v>
      </c>
      <c r="BH31" s="124" t="s">
        <v>303</v>
      </c>
      <c r="BI31" s="129">
        <v>1</v>
      </c>
      <c r="BJ31" s="124" t="s">
        <v>188</v>
      </c>
      <c r="BK31" s="124" t="s">
        <v>197</v>
      </c>
      <c r="BL31" s="124" t="s">
        <v>18</v>
      </c>
      <c r="BM31" s="124" t="s">
        <v>20</v>
      </c>
      <c r="BN31" s="129">
        <v>9</v>
      </c>
      <c r="BO31" s="124"/>
      <c r="BP31" s="124"/>
      <c r="BQ31" s="124"/>
      <c r="BR31" s="129"/>
      <c r="BS31" s="129"/>
      <c r="BT31" s="129"/>
      <c r="BU31" s="124"/>
      <c r="BV31" s="124"/>
      <c r="BW31" s="124"/>
      <c r="BX31" s="124"/>
      <c r="BY31" s="124"/>
      <c r="BZ31" s="129">
        <v>1</v>
      </c>
      <c r="CA31" s="124">
        <f t="shared" si="0"/>
        <v>5</v>
      </c>
      <c r="CB31" s="129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</row>
    <row r="32" spans="1:113" ht="13.5" customHeight="1" x14ac:dyDescent="0.2">
      <c r="A32" s="128">
        <v>43587.580252442131</v>
      </c>
      <c r="B32" s="124" t="s">
        <v>280</v>
      </c>
      <c r="C32" s="124" t="s">
        <v>9</v>
      </c>
      <c r="D32" s="124" t="s">
        <v>16</v>
      </c>
      <c r="E32" s="124" t="s">
        <v>20</v>
      </c>
      <c r="F32" s="124" t="s">
        <v>25</v>
      </c>
      <c r="G32" s="124" t="s">
        <v>31</v>
      </c>
      <c r="H32" s="124" t="s">
        <v>38</v>
      </c>
      <c r="I32" s="124" t="s">
        <v>282</v>
      </c>
      <c r="J32" s="124" t="s">
        <v>53</v>
      </c>
      <c r="K32" s="124" t="s">
        <v>287</v>
      </c>
      <c r="L32" s="124" t="s">
        <v>61</v>
      </c>
      <c r="M32" s="129">
        <v>5</v>
      </c>
      <c r="N32" s="129">
        <v>3</v>
      </c>
      <c r="O32" s="129">
        <v>2</v>
      </c>
      <c r="P32" s="129">
        <v>5</v>
      </c>
      <c r="Q32" s="129">
        <v>5</v>
      </c>
      <c r="R32" s="129">
        <v>9</v>
      </c>
      <c r="S32" s="129">
        <v>5</v>
      </c>
      <c r="T32" s="129">
        <v>5</v>
      </c>
      <c r="U32" s="129">
        <v>5</v>
      </c>
      <c r="V32" s="129">
        <v>5</v>
      </c>
      <c r="W32" s="129">
        <v>4</v>
      </c>
      <c r="X32" s="129">
        <v>4</v>
      </c>
      <c r="Y32" s="129">
        <v>4</v>
      </c>
      <c r="Z32" s="129">
        <v>5</v>
      </c>
      <c r="AA32" s="129">
        <v>5</v>
      </c>
      <c r="AB32" s="129">
        <v>5</v>
      </c>
      <c r="AC32" s="129">
        <v>4</v>
      </c>
      <c r="AD32" s="129">
        <v>4</v>
      </c>
      <c r="AE32" s="129">
        <v>4</v>
      </c>
      <c r="AF32" s="129">
        <v>4</v>
      </c>
      <c r="AG32" s="129">
        <v>4</v>
      </c>
      <c r="AH32" s="129">
        <v>4</v>
      </c>
      <c r="AI32" s="124" t="s">
        <v>20</v>
      </c>
      <c r="AJ32" s="129">
        <v>9</v>
      </c>
      <c r="AK32" s="129">
        <v>4</v>
      </c>
      <c r="AL32" s="129">
        <v>1</v>
      </c>
      <c r="AM32" s="129">
        <v>4</v>
      </c>
      <c r="AN32" s="129">
        <v>5</v>
      </c>
      <c r="AO32" s="129">
        <v>4</v>
      </c>
      <c r="AP32" s="129">
        <v>4</v>
      </c>
      <c r="AQ32" s="129">
        <v>9</v>
      </c>
      <c r="AR32" s="129">
        <v>5</v>
      </c>
      <c r="AS32" s="129">
        <v>4</v>
      </c>
      <c r="AT32" s="129">
        <v>5</v>
      </c>
      <c r="AU32" s="129">
        <v>5</v>
      </c>
      <c r="AV32" s="129">
        <v>5</v>
      </c>
      <c r="AW32" s="129">
        <v>5</v>
      </c>
      <c r="AX32" s="129">
        <v>5</v>
      </c>
      <c r="AY32" s="129">
        <v>9</v>
      </c>
      <c r="AZ32" s="129">
        <v>9</v>
      </c>
      <c r="BA32" s="129">
        <v>9</v>
      </c>
      <c r="BB32" s="129">
        <v>9</v>
      </c>
      <c r="BC32" s="129">
        <v>9</v>
      </c>
      <c r="BD32" s="129">
        <v>9</v>
      </c>
      <c r="BE32" s="129">
        <v>2</v>
      </c>
      <c r="BF32" s="129">
        <v>0</v>
      </c>
      <c r="BG32" s="129">
        <v>1</v>
      </c>
      <c r="BH32" s="124"/>
      <c r="BI32" s="129">
        <v>9</v>
      </c>
      <c r="BJ32" s="124" t="s">
        <v>188</v>
      </c>
      <c r="BK32" s="124" t="s">
        <v>283</v>
      </c>
      <c r="BL32" s="124" t="s">
        <v>20</v>
      </c>
      <c r="BM32" s="124" t="s">
        <v>283</v>
      </c>
      <c r="BN32" s="129">
        <v>9</v>
      </c>
      <c r="BO32" s="124"/>
      <c r="BP32" s="124"/>
      <c r="BQ32" s="124"/>
      <c r="BR32" s="129"/>
      <c r="BS32" s="129"/>
      <c r="BT32" s="129"/>
      <c r="BU32" s="124"/>
      <c r="BV32" s="124"/>
      <c r="BW32" s="124"/>
      <c r="BX32" s="124"/>
      <c r="BY32" s="124"/>
      <c r="BZ32" s="129">
        <v>1</v>
      </c>
      <c r="CA32" s="124">
        <f t="shared" si="0"/>
        <v>5</v>
      </c>
      <c r="CB32" s="129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</row>
    <row r="33" spans="1:113" ht="12.75" x14ac:dyDescent="0.2">
      <c r="A33" s="128">
        <v>43587.582325844909</v>
      </c>
      <c r="B33" s="124" t="s">
        <v>284</v>
      </c>
      <c r="C33" s="124" t="s">
        <v>11</v>
      </c>
      <c r="D33" s="124" t="s">
        <v>19</v>
      </c>
      <c r="E33" s="124" t="s">
        <v>18</v>
      </c>
      <c r="F33" s="124" t="s">
        <v>25</v>
      </c>
      <c r="G33" s="124" t="s">
        <v>32</v>
      </c>
      <c r="H33" s="126" t="s">
        <v>41</v>
      </c>
      <c r="I33" s="124"/>
      <c r="J33" s="124" t="s">
        <v>23</v>
      </c>
      <c r="K33" s="124" t="s">
        <v>285</v>
      </c>
      <c r="L33" s="124" t="s">
        <v>61</v>
      </c>
      <c r="M33" s="129">
        <v>9</v>
      </c>
      <c r="N33" s="129">
        <v>3</v>
      </c>
      <c r="O33" s="129">
        <v>3</v>
      </c>
      <c r="P33" s="129">
        <v>5</v>
      </c>
      <c r="Q33" s="129">
        <v>9</v>
      </c>
      <c r="R33" s="129">
        <v>4</v>
      </c>
      <c r="S33" s="129">
        <v>5</v>
      </c>
      <c r="T33" s="129">
        <v>5</v>
      </c>
      <c r="U33" s="129">
        <v>5</v>
      </c>
      <c r="V33" s="129">
        <v>5</v>
      </c>
      <c r="W33" s="129">
        <v>9</v>
      </c>
      <c r="X33" s="129">
        <v>4</v>
      </c>
      <c r="Y33" s="129">
        <v>4</v>
      </c>
      <c r="Z33" s="129">
        <v>4</v>
      </c>
      <c r="AA33" s="129">
        <v>4</v>
      </c>
      <c r="AB33" s="129">
        <v>4</v>
      </c>
      <c r="AC33" s="129">
        <v>4</v>
      </c>
      <c r="AD33" s="129">
        <v>4</v>
      </c>
      <c r="AE33" s="129">
        <v>4</v>
      </c>
      <c r="AF33" s="129">
        <v>4</v>
      </c>
      <c r="AG33" s="129">
        <v>4</v>
      </c>
      <c r="AH33" s="129">
        <v>4</v>
      </c>
      <c r="AI33" s="124" t="s">
        <v>18</v>
      </c>
      <c r="AJ33" s="129">
        <v>4</v>
      </c>
      <c r="AK33" s="129">
        <v>9</v>
      </c>
      <c r="AL33" s="129">
        <v>9</v>
      </c>
      <c r="AM33" s="129">
        <v>9</v>
      </c>
      <c r="AN33" s="129">
        <v>9</v>
      </c>
      <c r="AO33" s="129">
        <v>9</v>
      </c>
      <c r="AP33" s="129">
        <v>9</v>
      </c>
      <c r="AQ33" s="129">
        <v>9</v>
      </c>
      <c r="AR33" s="129">
        <v>9</v>
      </c>
      <c r="AS33" s="129">
        <v>9</v>
      </c>
      <c r="AT33" s="129">
        <v>9</v>
      </c>
      <c r="AU33" s="129">
        <v>9</v>
      </c>
      <c r="AV33" s="129">
        <v>9</v>
      </c>
      <c r="AW33" s="129">
        <v>9</v>
      </c>
      <c r="AX33" s="129">
        <v>9</v>
      </c>
      <c r="AY33" s="129">
        <v>9</v>
      </c>
      <c r="AZ33" s="129">
        <v>9</v>
      </c>
      <c r="BA33" s="129">
        <v>9</v>
      </c>
      <c r="BB33" s="129">
        <v>9</v>
      </c>
      <c r="BC33" s="129">
        <v>9</v>
      </c>
      <c r="BD33" s="129">
        <v>9</v>
      </c>
      <c r="BE33" s="124" t="s">
        <v>283</v>
      </c>
      <c r="BF33" s="124" t="s">
        <v>283</v>
      </c>
      <c r="BG33" s="124" t="s">
        <v>283</v>
      </c>
      <c r="BH33" s="124"/>
      <c r="BI33" s="129">
        <v>9</v>
      </c>
      <c r="BJ33" s="124" t="s">
        <v>188</v>
      </c>
      <c r="BK33" s="124" t="s">
        <v>283</v>
      </c>
      <c r="BL33" s="124" t="s">
        <v>18</v>
      </c>
      <c r="BM33" s="124" t="s">
        <v>20</v>
      </c>
      <c r="BN33" s="129">
        <v>9</v>
      </c>
      <c r="BO33" s="124"/>
      <c r="BP33" s="124"/>
      <c r="BQ33" s="124"/>
      <c r="BR33" s="129"/>
      <c r="BS33" s="129"/>
      <c r="BT33" s="129"/>
      <c r="BU33" s="124"/>
      <c r="BV33" s="124"/>
      <c r="BW33" s="124"/>
      <c r="BX33" s="124"/>
      <c r="BY33" s="124"/>
      <c r="BZ33" s="129">
        <v>1</v>
      </c>
      <c r="CA33" s="124">
        <f t="shared" si="0"/>
        <v>5</v>
      </c>
      <c r="CB33" s="129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</row>
    <row r="34" spans="1:113" ht="13.5" customHeight="1" x14ac:dyDescent="0.2">
      <c r="A34" s="128">
        <v>43587.584503310187</v>
      </c>
      <c r="B34" s="124" t="s">
        <v>284</v>
      </c>
      <c r="C34" s="124" t="s">
        <v>9</v>
      </c>
      <c r="D34" s="124" t="s">
        <v>19</v>
      </c>
      <c r="E34" s="124" t="s">
        <v>18</v>
      </c>
      <c r="F34" s="124" t="s">
        <v>25</v>
      </c>
      <c r="G34" s="124" t="s">
        <v>32</v>
      </c>
      <c r="H34" s="124" t="s">
        <v>38</v>
      </c>
      <c r="I34" s="124" t="s">
        <v>43</v>
      </c>
      <c r="J34" s="124" t="s">
        <v>52</v>
      </c>
      <c r="K34" s="124" t="s">
        <v>287</v>
      </c>
      <c r="L34" s="124" t="s">
        <v>61</v>
      </c>
      <c r="M34" s="129">
        <v>4</v>
      </c>
      <c r="N34" s="129">
        <v>4</v>
      </c>
      <c r="O34" s="129">
        <v>3</v>
      </c>
      <c r="P34" s="129">
        <v>5</v>
      </c>
      <c r="Q34" s="129">
        <v>9</v>
      </c>
      <c r="R34" s="129">
        <v>5</v>
      </c>
      <c r="S34" s="129">
        <v>5</v>
      </c>
      <c r="T34" s="129">
        <v>5</v>
      </c>
      <c r="U34" s="129">
        <v>5</v>
      </c>
      <c r="V34" s="129">
        <v>4</v>
      </c>
      <c r="W34" s="129">
        <v>4</v>
      </c>
      <c r="X34" s="129">
        <v>4</v>
      </c>
      <c r="Y34" s="129">
        <v>4</v>
      </c>
      <c r="Z34" s="129">
        <v>4</v>
      </c>
      <c r="AA34" s="129">
        <v>5</v>
      </c>
      <c r="AB34" s="129">
        <v>5</v>
      </c>
      <c r="AC34" s="129">
        <v>5</v>
      </c>
      <c r="AD34" s="129">
        <v>4</v>
      </c>
      <c r="AE34" s="129">
        <v>4</v>
      </c>
      <c r="AF34" s="129">
        <v>5</v>
      </c>
      <c r="AG34" s="129">
        <v>4</v>
      </c>
      <c r="AH34" s="129">
        <v>5</v>
      </c>
      <c r="AI34" s="124" t="s">
        <v>18</v>
      </c>
      <c r="AJ34" s="129">
        <v>5</v>
      </c>
      <c r="AK34" s="129">
        <v>9</v>
      </c>
      <c r="AL34" s="129">
        <v>2</v>
      </c>
      <c r="AM34" s="129">
        <v>4</v>
      </c>
      <c r="AN34" s="129">
        <v>5</v>
      </c>
      <c r="AO34" s="129">
        <v>5</v>
      </c>
      <c r="AP34" s="129">
        <v>4</v>
      </c>
      <c r="AQ34" s="129">
        <v>4</v>
      </c>
      <c r="AR34" s="129">
        <v>4</v>
      </c>
      <c r="AS34" s="129">
        <v>4</v>
      </c>
      <c r="AT34" s="129">
        <v>9</v>
      </c>
      <c r="AU34" s="129">
        <v>9</v>
      </c>
      <c r="AV34" s="129">
        <v>9</v>
      </c>
      <c r="AW34" s="129">
        <v>9</v>
      </c>
      <c r="AX34" s="129">
        <v>9</v>
      </c>
      <c r="AY34" s="129">
        <v>9</v>
      </c>
      <c r="AZ34" s="129">
        <v>9</v>
      </c>
      <c r="BA34" s="129">
        <v>9</v>
      </c>
      <c r="BB34" s="129">
        <v>9</v>
      </c>
      <c r="BC34" s="129">
        <v>9</v>
      </c>
      <c r="BD34" s="129">
        <v>9</v>
      </c>
      <c r="BE34" s="129">
        <v>2</v>
      </c>
      <c r="BF34" s="129">
        <v>0</v>
      </c>
      <c r="BG34" s="129">
        <v>1</v>
      </c>
      <c r="BH34" s="124"/>
      <c r="BI34" s="129">
        <v>1</v>
      </c>
      <c r="BJ34" s="124" t="s">
        <v>188</v>
      </c>
      <c r="BK34" s="124" t="s">
        <v>283</v>
      </c>
      <c r="BL34" s="124" t="s">
        <v>18</v>
      </c>
      <c r="BM34" s="124" t="s">
        <v>20</v>
      </c>
      <c r="BN34" s="129">
        <v>9</v>
      </c>
      <c r="BO34" s="124"/>
      <c r="BP34" s="124"/>
      <c r="BQ34" s="124"/>
      <c r="BR34" s="129"/>
      <c r="BS34" s="129"/>
      <c r="BT34" s="129"/>
      <c r="BU34" s="124"/>
      <c r="BV34" s="124"/>
      <c r="BW34" s="124"/>
      <c r="BX34" s="124"/>
      <c r="BY34" s="124"/>
      <c r="BZ34" s="124"/>
      <c r="CA34" s="124"/>
      <c r="CB34" s="129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</row>
    <row r="35" spans="1:113" ht="12.75" x14ac:dyDescent="0.2">
      <c r="A35" s="128">
        <v>43587.586595717592</v>
      </c>
      <c r="B35" s="124" t="s">
        <v>280</v>
      </c>
      <c r="C35" s="124" t="s">
        <v>9</v>
      </c>
      <c r="D35" s="124" t="s">
        <v>16</v>
      </c>
      <c r="E35" s="124" t="s">
        <v>20</v>
      </c>
      <c r="F35" s="124" t="s">
        <v>26</v>
      </c>
      <c r="G35" s="124" t="s">
        <v>29</v>
      </c>
      <c r="H35" s="126" t="s">
        <v>41</v>
      </c>
      <c r="I35" s="124"/>
      <c r="J35" s="124" t="s">
        <v>23</v>
      </c>
      <c r="K35" s="124" t="s">
        <v>285</v>
      </c>
      <c r="L35" s="124" t="s">
        <v>61</v>
      </c>
      <c r="M35" s="129">
        <v>9</v>
      </c>
      <c r="N35" s="129">
        <v>3</v>
      </c>
      <c r="O35" s="129">
        <v>2</v>
      </c>
      <c r="P35" s="129">
        <v>3</v>
      </c>
      <c r="Q35" s="129">
        <v>4</v>
      </c>
      <c r="R35" s="129">
        <v>9</v>
      </c>
      <c r="S35" s="129">
        <v>5</v>
      </c>
      <c r="T35" s="129">
        <v>5</v>
      </c>
      <c r="U35" s="129">
        <v>9</v>
      </c>
      <c r="V35" s="129">
        <v>9</v>
      </c>
      <c r="W35" s="129">
        <v>9</v>
      </c>
      <c r="X35" s="129">
        <v>2</v>
      </c>
      <c r="Y35" s="129">
        <v>5</v>
      </c>
      <c r="Z35" s="129">
        <v>5</v>
      </c>
      <c r="AA35" s="129">
        <v>5</v>
      </c>
      <c r="AB35" s="129">
        <v>4</v>
      </c>
      <c r="AC35" s="129">
        <v>4</v>
      </c>
      <c r="AD35" s="129">
        <v>9</v>
      </c>
      <c r="AE35" s="129">
        <v>4</v>
      </c>
      <c r="AF35" s="129">
        <v>4</v>
      </c>
      <c r="AG35" s="129">
        <v>4</v>
      </c>
      <c r="AH35" s="129">
        <v>4</v>
      </c>
      <c r="AI35" s="124" t="s">
        <v>20</v>
      </c>
      <c r="AJ35" s="129">
        <v>9</v>
      </c>
      <c r="AK35" s="129">
        <v>9</v>
      </c>
      <c r="AL35" s="129">
        <v>9</v>
      </c>
      <c r="AM35" s="129">
        <v>9</v>
      </c>
      <c r="AN35" s="129">
        <v>9</v>
      </c>
      <c r="AO35" s="129">
        <v>9</v>
      </c>
      <c r="AP35" s="129">
        <v>9</v>
      </c>
      <c r="AQ35" s="129">
        <v>9</v>
      </c>
      <c r="AR35" s="129">
        <v>9</v>
      </c>
      <c r="AS35" s="129">
        <v>9</v>
      </c>
      <c r="AT35" s="129">
        <v>9</v>
      </c>
      <c r="AU35" s="129">
        <v>9</v>
      </c>
      <c r="AV35" s="129">
        <v>9</v>
      </c>
      <c r="AW35" s="129">
        <v>9</v>
      </c>
      <c r="AX35" s="129">
        <v>9</v>
      </c>
      <c r="AY35" s="129">
        <v>9</v>
      </c>
      <c r="AZ35" s="129">
        <v>9</v>
      </c>
      <c r="BA35" s="129">
        <v>9</v>
      </c>
      <c r="BB35" s="129">
        <v>9</v>
      </c>
      <c r="BC35" s="129">
        <v>9</v>
      </c>
      <c r="BD35" s="129">
        <v>9</v>
      </c>
      <c r="BE35" s="124" t="s">
        <v>283</v>
      </c>
      <c r="BF35" s="124" t="s">
        <v>283</v>
      </c>
      <c r="BG35" s="124" t="s">
        <v>283</v>
      </c>
      <c r="BH35" s="124"/>
      <c r="BI35" s="129">
        <v>9</v>
      </c>
      <c r="BJ35" s="124" t="s">
        <v>188</v>
      </c>
      <c r="BK35" s="124" t="s">
        <v>283</v>
      </c>
      <c r="BL35" s="124" t="s">
        <v>20</v>
      </c>
      <c r="BM35" s="124" t="s">
        <v>283</v>
      </c>
      <c r="BN35" s="129">
        <v>9</v>
      </c>
      <c r="BO35" s="124"/>
      <c r="BP35" s="124"/>
      <c r="BQ35" s="124"/>
      <c r="BR35" s="129"/>
      <c r="BS35" s="129"/>
      <c r="BT35" s="129"/>
      <c r="BU35" s="124"/>
      <c r="BV35" s="124"/>
      <c r="BW35" s="124"/>
      <c r="BX35" s="124"/>
      <c r="BY35" s="124"/>
      <c r="BZ35" s="124"/>
      <c r="CA35" s="124"/>
      <c r="CB35" s="129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</row>
    <row r="36" spans="1:113" ht="12.75" x14ac:dyDescent="0.2">
      <c r="A36" s="128">
        <v>43587.588989340278</v>
      </c>
      <c r="B36" s="124" t="s">
        <v>284</v>
      </c>
      <c r="C36" s="124" t="s">
        <v>9</v>
      </c>
      <c r="D36" s="124" t="s">
        <v>16</v>
      </c>
      <c r="E36" s="124" t="s">
        <v>20</v>
      </c>
      <c r="F36" s="124" t="s">
        <v>26</v>
      </c>
      <c r="G36" s="124" t="s">
        <v>31</v>
      </c>
      <c r="H36" s="124" t="s">
        <v>38</v>
      </c>
      <c r="I36" s="124" t="s">
        <v>44</v>
      </c>
      <c r="J36" s="124" t="s">
        <v>52</v>
      </c>
      <c r="K36" s="124" t="s">
        <v>287</v>
      </c>
      <c r="L36" s="124" t="s">
        <v>61</v>
      </c>
      <c r="M36" s="129">
        <v>9</v>
      </c>
      <c r="N36" s="129">
        <v>3</v>
      </c>
      <c r="O36" s="129">
        <v>1</v>
      </c>
      <c r="P36" s="129">
        <v>5</v>
      </c>
      <c r="Q36" s="129">
        <v>9</v>
      </c>
      <c r="R36" s="129">
        <v>4</v>
      </c>
      <c r="S36" s="129">
        <v>5</v>
      </c>
      <c r="T36" s="129">
        <v>5</v>
      </c>
      <c r="U36" s="129">
        <v>5</v>
      </c>
      <c r="V36" s="129">
        <v>4</v>
      </c>
      <c r="W36" s="129">
        <v>4</v>
      </c>
      <c r="X36" s="129">
        <v>4</v>
      </c>
      <c r="Y36" s="129">
        <v>4</v>
      </c>
      <c r="Z36" s="129">
        <v>3</v>
      </c>
      <c r="AA36" s="129">
        <v>5</v>
      </c>
      <c r="AB36" s="129">
        <v>4</v>
      </c>
      <c r="AC36" s="129">
        <v>5</v>
      </c>
      <c r="AD36" s="129">
        <v>5</v>
      </c>
      <c r="AE36" s="129">
        <v>5</v>
      </c>
      <c r="AF36" s="129">
        <v>4</v>
      </c>
      <c r="AG36" s="129">
        <v>5</v>
      </c>
      <c r="AH36" s="129">
        <v>5</v>
      </c>
      <c r="AI36" s="124" t="s">
        <v>18</v>
      </c>
      <c r="AJ36" s="129">
        <v>4</v>
      </c>
      <c r="AK36" s="129">
        <v>4</v>
      </c>
      <c r="AL36" s="129">
        <v>2</v>
      </c>
      <c r="AM36" s="129">
        <v>4</v>
      </c>
      <c r="AN36" s="129">
        <v>5</v>
      </c>
      <c r="AO36" s="129">
        <v>4</v>
      </c>
      <c r="AP36" s="129">
        <v>3</v>
      </c>
      <c r="AQ36" s="129">
        <v>9</v>
      </c>
      <c r="AR36" s="129">
        <v>5</v>
      </c>
      <c r="AS36" s="129">
        <v>4</v>
      </c>
      <c r="AT36" s="129">
        <v>5</v>
      </c>
      <c r="AU36" s="129">
        <v>5</v>
      </c>
      <c r="AV36" s="129">
        <v>4</v>
      </c>
      <c r="AW36" s="129">
        <v>4</v>
      </c>
      <c r="AX36" s="129">
        <v>9</v>
      </c>
      <c r="AY36" s="129">
        <v>9</v>
      </c>
      <c r="AZ36" s="129">
        <v>9</v>
      </c>
      <c r="BA36" s="129">
        <v>9</v>
      </c>
      <c r="BB36" s="129">
        <v>9</v>
      </c>
      <c r="BC36" s="129">
        <v>9</v>
      </c>
      <c r="BD36" s="129">
        <v>9</v>
      </c>
      <c r="BE36" s="129">
        <v>4</v>
      </c>
      <c r="BF36" s="129">
        <v>0</v>
      </c>
      <c r="BG36" s="129">
        <v>1</v>
      </c>
      <c r="BH36" s="124"/>
      <c r="BI36" s="129">
        <v>9</v>
      </c>
      <c r="BJ36" s="124" t="s">
        <v>190</v>
      </c>
      <c r="BK36" s="124" t="s">
        <v>197</v>
      </c>
      <c r="BL36" s="124" t="s">
        <v>20</v>
      </c>
      <c r="BM36" s="124" t="s">
        <v>283</v>
      </c>
      <c r="BN36" s="129">
        <v>9</v>
      </c>
      <c r="BO36" s="124"/>
      <c r="BP36" s="124"/>
      <c r="BQ36" s="124"/>
      <c r="BR36" s="129"/>
      <c r="BS36" s="129"/>
      <c r="BT36" s="129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</row>
    <row r="37" spans="1:113" ht="12.75" x14ac:dyDescent="0.2">
      <c r="A37" s="128">
        <v>43587.591043576387</v>
      </c>
      <c r="B37" s="124" t="s">
        <v>286</v>
      </c>
      <c r="C37" s="124" t="s">
        <v>9</v>
      </c>
      <c r="D37" s="124" t="s">
        <v>16</v>
      </c>
      <c r="E37" s="124" t="s">
        <v>20</v>
      </c>
      <c r="F37" s="124" t="s">
        <v>25</v>
      </c>
      <c r="G37" s="124" t="s">
        <v>31</v>
      </c>
      <c r="H37" s="126" t="s">
        <v>41</v>
      </c>
      <c r="I37" s="124"/>
      <c r="J37" s="124" t="s">
        <v>23</v>
      </c>
      <c r="K37" s="124" t="s">
        <v>285</v>
      </c>
      <c r="L37" s="124" t="s">
        <v>61</v>
      </c>
      <c r="M37" s="129">
        <v>4</v>
      </c>
      <c r="N37" s="129">
        <v>3</v>
      </c>
      <c r="O37" s="129">
        <v>1</v>
      </c>
      <c r="P37" s="129">
        <v>5</v>
      </c>
      <c r="Q37" s="129">
        <v>5</v>
      </c>
      <c r="R37" s="129">
        <v>9</v>
      </c>
      <c r="S37" s="129">
        <v>5</v>
      </c>
      <c r="T37" s="129">
        <v>4</v>
      </c>
      <c r="U37" s="129">
        <v>9</v>
      </c>
      <c r="V37" s="129">
        <v>9</v>
      </c>
      <c r="W37" s="129">
        <v>9</v>
      </c>
      <c r="X37" s="129">
        <v>3</v>
      </c>
      <c r="Y37" s="129">
        <v>5</v>
      </c>
      <c r="Z37" s="129">
        <v>5</v>
      </c>
      <c r="AA37" s="129">
        <v>5</v>
      </c>
      <c r="AB37" s="129">
        <v>4</v>
      </c>
      <c r="AC37" s="129">
        <v>5</v>
      </c>
      <c r="AD37" s="129">
        <v>5</v>
      </c>
      <c r="AE37" s="129">
        <v>5</v>
      </c>
      <c r="AF37" s="129">
        <v>5</v>
      </c>
      <c r="AG37" s="129">
        <v>5</v>
      </c>
      <c r="AH37" s="129">
        <v>5</v>
      </c>
      <c r="AI37" s="124" t="s">
        <v>20</v>
      </c>
      <c r="AJ37" s="129">
        <v>9</v>
      </c>
      <c r="AK37" s="129">
        <v>9</v>
      </c>
      <c r="AL37" s="129">
        <v>9</v>
      </c>
      <c r="AM37" s="129">
        <v>9</v>
      </c>
      <c r="AN37" s="129">
        <v>9</v>
      </c>
      <c r="AO37" s="129">
        <v>9</v>
      </c>
      <c r="AP37" s="129">
        <v>9</v>
      </c>
      <c r="AQ37" s="129">
        <v>9</v>
      </c>
      <c r="AR37" s="129">
        <v>9</v>
      </c>
      <c r="AS37" s="129">
        <v>9</v>
      </c>
      <c r="AT37" s="129">
        <v>9</v>
      </c>
      <c r="AU37" s="129">
        <v>9</v>
      </c>
      <c r="AV37" s="129">
        <v>9</v>
      </c>
      <c r="AW37" s="129">
        <v>9</v>
      </c>
      <c r="AX37" s="129">
        <v>9</v>
      </c>
      <c r="AY37" s="129">
        <v>9</v>
      </c>
      <c r="AZ37" s="129">
        <v>9</v>
      </c>
      <c r="BA37" s="129">
        <v>9</v>
      </c>
      <c r="BB37" s="129">
        <v>9</v>
      </c>
      <c r="BC37" s="129">
        <v>9</v>
      </c>
      <c r="BD37" s="129">
        <v>9</v>
      </c>
      <c r="BE37" s="124" t="s">
        <v>283</v>
      </c>
      <c r="BF37" s="124" t="s">
        <v>283</v>
      </c>
      <c r="BG37" s="124" t="s">
        <v>283</v>
      </c>
      <c r="BH37" s="124"/>
      <c r="BI37" s="129">
        <v>1</v>
      </c>
      <c r="BJ37" s="124" t="s">
        <v>188</v>
      </c>
      <c r="BK37" s="124" t="s">
        <v>283</v>
      </c>
      <c r="BL37" s="124" t="s">
        <v>20</v>
      </c>
      <c r="BM37" s="124" t="s">
        <v>283</v>
      </c>
      <c r="BN37" s="129">
        <v>9</v>
      </c>
      <c r="BO37" s="124"/>
      <c r="BP37" s="124"/>
      <c r="BQ37" s="124"/>
      <c r="BR37" s="129"/>
      <c r="BS37" s="129"/>
      <c r="BT37" s="129"/>
      <c r="BU37" s="124"/>
      <c r="BV37" s="124"/>
      <c r="BW37" s="124"/>
      <c r="BX37" s="124"/>
      <c r="BY37" s="124"/>
      <c r="BZ37" s="124"/>
      <c r="CA37" s="124"/>
      <c r="CB37" s="129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</row>
    <row r="38" spans="1:113" ht="12.75" x14ac:dyDescent="0.2">
      <c r="A38" s="128">
        <v>43587.593424178238</v>
      </c>
      <c r="B38" s="124" t="s">
        <v>284</v>
      </c>
      <c r="C38" s="124" t="s">
        <v>11</v>
      </c>
      <c r="D38" s="124" t="s">
        <v>19</v>
      </c>
      <c r="E38" s="124" t="s">
        <v>18</v>
      </c>
      <c r="F38" s="124" t="s">
        <v>26</v>
      </c>
      <c r="G38" s="124" t="s">
        <v>32</v>
      </c>
      <c r="H38" s="124" t="s">
        <v>40</v>
      </c>
      <c r="I38" s="124" t="s">
        <v>43</v>
      </c>
      <c r="J38" s="124" t="s">
        <v>52</v>
      </c>
      <c r="K38" s="124" t="s">
        <v>65</v>
      </c>
      <c r="L38" s="124" t="s">
        <v>65</v>
      </c>
      <c r="M38" s="129">
        <v>5</v>
      </c>
      <c r="N38" s="129">
        <v>4</v>
      </c>
      <c r="O38" s="129">
        <v>4</v>
      </c>
      <c r="P38" s="129">
        <v>5</v>
      </c>
      <c r="Q38" s="129">
        <v>9</v>
      </c>
      <c r="R38" s="129">
        <v>5</v>
      </c>
      <c r="S38" s="129">
        <v>5</v>
      </c>
      <c r="T38" s="129">
        <v>5</v>
      </c>
      <c r="U38" s="129">
        <v>5</v>
      </c>
      <c r="V38" s="129">
        <v>5</v>
      </c>
      <c r="W38" s="129">
        <v>5</v>
      </c>
      <c r="X38" s="129">
        <v>9</v>
      </c>
      <c r="Y38" s="129">
        <v>5</v>
      </c>
      <c r="Z38" s="129">
        <v>5</v>
      </c>
      <c r="AA38" s="129">
        <v>5</v>
      </c>
      <c r="AB38" s="129">
        <v>5</v>
      </c>
      <c r="AC38" s="129">
        <v>5</v>
      </c>
      <c r="AD38" s="129">
        <v>5</v>
      </c>
      <c r="AE38" s="129">
        <v>5</v>
      </c>
      <c r="AF38" s="129">
        <v>5</v>
      </c>
      <c r="AG38" s="129">
        <v>5</v>
      </c>
      <c r="AH38" s="129">
        <v>5</v>
      </c>
      <c r="AI38" s="124" t="s">
        <v>18</v>
      </c>
      <c r="AJ38" s="129">
        <v>5</v>
      </c>
      <c r="AK38" s="129">
        <v>5</v>
      </c>
      <c r="AL38" s="129">
        <v>1</v>
      </c>
      <c r="AM38" s="129">
        <v>5</v>
      </c>
      <c r="AN38" s="129">
        <v>5</v>
      </c>
      <c r="AO38" s="129">
        <v>5</v>
      </c>
      <c r="AP38" s="129">
        <v>4</v>
      </c>
      <c r="AQ38" s="129">
        <v>4</v>
      </c>
      <c r="AR38" s="129">
        <v>5</v>
      </c>
      <c r="AS38" s="129">
        <v>4</v>
      </c>
      <c r="AT38" s="129">
        <v>5</v>
      </c>
      <c r="AU38" s="129">
        <v>5</v>
      </c>
      <c r="AV38" s="129">
        <v>5</v>
      </c>
      <c r="AW38" s="129">
        <v>5</v>
      </c>
      <c r="AX38" s="129">
        <v>5</v>
      </c>
      <c r="AY38" s="129">
        <v>1</v>
      </c>
      <c r="AZ38" s="129">
        <v>2</v>
      </c>
      <c r="BA38" s="129">
        <v>1</v>
      </c>
      <c r="BB38" s="129">
        <v>1</v>
      </c>
      <c r="BC38" s="129">
        <v>5</v>
      </c>
      <c r="BD38" s="129">
        <v>5</v>
      </c>
      <c r="BE38" s="129">
        <v>5</v>
      </c>
      <c r="BF38" s="129">
        <v>0</v>
      </c>
      <c r="BG38" s="129">
        <v>6</v>
      </c>
      <c r="BH38" s="124"/>
      <c r="BI38" s="129">
        <v>1</v>
      </c>
      <c r="BJ38" s="124" t="s">
        <v>190</v>
      </c>
      <c r="BK38" s="124" t="s">
        <v>192</v>
      </c>
      <c r="BL38" s="124" t="s">
        <v>18</v>
      </c>
      <c r="BM38" s="124" t="s">
        <v>20</v>
      </c>
      <c r="BN38" s="129">
        <v>9</v>
      </c>
      <c r="BO38" s="124"/>
      <c r="BP38" s="124"/>
      <c r="BQ38" s="124"/>
      <c r="BR38" s="129"/>
      <c r="BS38" s="129"/>
      <c r="BT38" s="129"/>
      <c r="BU38" s="124"/>
      <c r="BV38" s="124"/>
      <c r="BW38" s="124"/>
      <c r="BX38" s="124"/>
      <c r="BY38" s="124"/>
      <c r="BZ38" s="124"/>
      <c r="CA38" s="124"/>
      <c r="CB38" s="129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</row>
    <row r="39" spans="1:113" ht="13.5" customHeight="1" x14ac:dyDescent="0.2">
      <c r="A39" s="128">
        <v>43587.595411585644</v>
      </c>
      <c r="B39" s="124" t="s">
        <v>286</v>
      </c>
      <c r="C39" s="124" t="s">
        <v>11</v>
      </c>
      <c r="D39" s="124" t="s">
        <v>16</v>
      </c>
      <c r="E39" s="124" t="s">
        <v>20</v>
      </c>
      <c r="F39" s="124" t="s">
        <v>25</v>
      </c>
      <c r="G39" s="124" t="s">
        <v>29</v>
      </c>
      <c r="H39" s="126" t="s">
        <v>41</v>
      </c>
      <c r="I39" s="124"/>
      <c r="J39" s="124" t="s">
        <v>23</v>
      </c>
      <c r="K39" s="124" t="s">
        <v>285</v>
      </c>
      <c r="L39" s="124" t="s">
        <v>61</v>
      </c>
      <c r="M39" s="129">
        <v>4</v>
      </c>
      <c r="N39" s="129">
        <v>3</v>
      </c>
      <c r="O39" s="129">
        <v>2</v>
      </c>
      <c r="P39" s="129">
        <v>5</v>
      </c>
      <c r="Q39" s="129">
        <v>5</v>
      </c>
      <c r="R39" s="129">
        <v>9</v>
      </c>
      <c r="S39" s="129">
        <v>5</v>
      </c>
      <c r="T39" s="129">
        <v>5</v>
      </c>
      <c r="U39" s="129">
        <v>5</v>
      </c>
      <c r="V39" s="129">
        <v>5</v>
      </c>
      <c r="W39" s="129">
        <v>5</v>
      </c>
      <c r="X39" s="129">
        <v>3</v>
      </c>
      <c r="Y39" s="129">
        <v>4</v>
      </c>
      <c r="Z39" s="129">
        <v>5</v>
      </c>
      <c r="AA39" s="129">
        <v>5</v>
      </c>
      <c r="AB39" s="129">
        <v>4</v>
      </c>
      <c r="AC39" s="129">
        <v>5</v>
      </c>
      <c r="AD39" s="129">
        <v>5</v>
      </c>
      <c r="AE39" s="129">
        <v>4</v>
      </c>
      <c r="AF39" s="129">
        <v>5</v>
      </c>
      <c r="AG39" s="129">
        <v>5</v>
      </c>
      <c r="AH39" s="129">
        <v>5</v>
      </c>
      <c r="AI39" s="124" t="s">
        <v>20</v>
      </c>
      <c r="AJ39" s="129">
        <v>9</v>
      </c>
      <c r="AK39" s="129">
        <v>9</v>
      </c>
      <c r="AL39" s="129">
        <v>9</v>
      </c>
      <c r="AM39" s="129">
        <v>9</v>
      </c>
      <c r="AN39" s="129">
        <v>9</v>
      </c>
      <c r="AO39" s="129">
        <v>9</v>
      </c>
      <c r="AP39" s="129">
        <v>9</v>
      </c>
      <c r="AQ39" s="129">
        <v>9</v>
      </c>
      <c r="AR39" s="129">
        <v>9</v>
      </c>
      <c r="AS39" s="129">
        <v>9</v>
      </c>
      <c r="AT39" s="129">
        <v>9</v>
      </c>
      <c r="AU39" s="129">
        <v>9</v>
      </c>
      <c r="AV39" s="129">
        <v>9</v>
      </c>
      <c r="AW39" s="129">
        <v>9</v>
      </c>
      <c r="AX39" s="129">
        <v>9</v>
      </c>
      <c r="AY39" s="129">
        <v>9</v>
      </c>
      <c r="AZ39" s="129">
        <v>9</v>
      </c>
      <c r="BA39" s="129">
        <v>9</v>
      </c>
      <c r="BB39" s="129">
        <v>9</v>
      </c>
      <c r="BC39" s="129">
        <v>9</v>
      </c>
      <c r="BD39" s="129">
        <v>9</v>
      </c>
      <c r="BE39" s="124" t="s">
        <v>283</v>
      </c>
      <c r="BF39" s="124" t="s">
        <v>283</v>
      </c>
      <c r="BG39" s="124" t="s">
        <v>283</v>
      </c>
      <c r="BH39" s="124"/>
      <c r="BI39" s="129">
        <v>9</v>
      </c>
      <c r="BJ39" s="124" t="s">
        <v>188</v>
      </c>
      <c r="BK39" s="124" t="s">
        <v>283</v>
      </c>
      <c r="BL39" s="124" t="s">
        <v>20</v>
      </c>
      <c r="BM39" s="124" t="s">
        <v>283</v>
      </c>
      <c r="BN39" s="129">
        <v>9</v>
      </c>
      <c r="BO39" s="124"/>
      <c r="BP39" s="124"/>
      <c r="BQ39" s="124"/>
      <c r="BR39" s="129"/>
      <c r="BS39" s="129"/>
      <c r="BT39" s="129"/>
      <c r="BU39" s="124"/>
      <c r="BV39" s="124"/>
      <c r="BW39" s="124"/>
      <c r="BX39" s="124"/>
      <c r="BY39" s="124"/>
      <c r="BZ39" s="124"/>
      <c r="CA39" s="124"/>
      <c r="CB39" s="129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</row>
    <row r="40" spans="1:113" ht="12.75" x14ac:dyDescent="0.2">
      <c r="A40" s="128">
        <v>43587.597568645833</v>
      </c>
      <c r="B40" s="124" t="s">
        <v>286</v>
      </c>
      <c r="C40" s="124" t="s">
        <v>9</v>
      </c>
      <c r="D40" s="124" t="s">
        <v>16</v>
      </c>
      <c r="E40" s="124" t="s">
        <v>20</v>
      </c>
      <c r="F40" s="124" t="s">
        <v>25</v>
      </c>
      <c r="G40" s="124" t="s">
        <v>29</v>
      </c>
      <c r="H40" s="126" t="s">
        <v>41</v>
      </c>
      <c r="I40" s="124"/>
      <c r="J40" s="124" t="s">
        <v>23</v>
      </c>
      <c r="K40" s="124" t="s">
        <v>285</v>
      </c>
      <c r="L40" s="124" t="s">
        <v>61</v>
      </c>
      <c r="M40" s="129">
        <v>5</v>
      </c>
      <c r="N40" s="129">
        <v>3</v>
      </c>
      <c r="O40" s="129">
        <v>2</v>
      </c>
      <c r="P40" s="129">
        <v>5</v>
      </c>
      <c r="Q40" s="129">
        <v>5</v>
      </c>
      <c r="R40" s="129">
        <v>9</v>
      </c>
      <c r="S40" s="129">
        <v>5</v>
      </c>
      <c r="T40" s="129">
        <v>5</v>
      </c>
      <c r="U40" s="129">
        <v>5</v>
      </c>
      <c r="V40" s="129">
        <v>4</v>
      </c>
      <c r="W40" s="129">
        <v>4</v>
      </c>
      <c r="X40" s="129">
        <v>3</v>
      </c>
      <c r="Y40" s="129">
        <v>5</v>
      </c>
      <c r="Z40" s="129">
        <v>5</v>
      </c>
      <c r="AA40" s="129">
        <v>5</v>
      </c>
      <c r="AB40" s="129">
        <v>4</v>
      </c>
      <c r="AC40" s="129">
        <v>5</v>
      </c>
      <c r="AD40" s="129">
        <v>4</v>
      </c>
      <c r="AE40" s="129">
        <v>5</v>
      </c>
      <c r="AF40" s="129">
        <v>5</v>
      </c>
      <c r="AG40" s="129">
        <v>5</v>
      </c>
      <c r="AH40" s="129">
        <v>5</v>
      </c>
      <c r="AI40" s="124" t="s">
        <v>18</v>
      </c>
      <c r="AJ40" s="129">
        <v>4</v>
      </c>
      <c r="AK40" s="129">
        <v>9</v>
      </c>
      <c r="AL40" s="129">
        <v>9</v>
      </c>
      <c r="AM40" s="129">
        <v>9</v>
      </c>
      <c r="AN40" s="129">
        <v>9</v>
      </c>
      <c r="AO40" s="129">
        <v>9</v>
      </c>
      <c r="AP40" s="129">
        <v>9</v>
      </c>
      <c r="AQ40" s="129">
        <v>9</v>
      </c>
      <c r="AR40" s="129">
        <v>9</v>
      </c>
      <c r="AS40" s="129">
        <v>9</v>
      </c>
      <c r="AT40" s="129">
        <v>9</v>
      </c>
      <c r="AU40" s="129">
        <v>9</v>
      </c>
      <c r="AV40" s="129">
        <v>9</v>
      </c>
      <c r="AW40" s="129">
        <v>9</v>
      </c>
      <c r="AX40" s="129">
        <v>9</v>
      </c>
      <c r="AY40" s="129">
        <v>9</v>
      </c>
      <c r="AZ40" s="129">
        <v>9</v>
      </c>
      <c r="BA40" s="129">
        <v>9</v>
      </c>
      <c r="BB40" s="129">
        <v>9</v>
      </c>
      <c r="BC40" s="129">
        <v>9</v>
      </c>
      <c r="BD40" s="129">
        <v>9</v>
      </c>
      <c r="BE40" s="124" t="s">
        <v>283</v>
      </c>
      <c r="BF40" s="124" t="s">
        <v>283</v>
      </c>
      <c r="BG40" s="124" t="s">
        <v>283</v>
      </c>
      <c r="BH40" s="124"/>
      <c r="BI40" s="129">
        <v>1</v>
      </c>
      <c r="BJ40" s="124" t="s">
        <v>188</v>
      </c>
      <c r="BK40" s="124" t="s">
        <v>283</v>
      </c>
      <c r="BL40" s="124" t="s">
        <v>18</v>
      </c>
      <c r="BM40" s="124" t="s">
        <v>20</v>
      </c>
      <c r="BN40" s="129">
        <v>9</v>
      </c>
      <c r="BO40" s="124"/>
      <c r="BP40" s="124"/>
      <c r="BQ40" s="124"/>
      <c r="BR40" s="129"/>
      <c r="BS40" s="129"/>
      <c r="BT40" s="129"/>
      <c r="BU40" s="124"/>
      <c r="BV40" s="124"/>
      <c r="BW40" s="124"/>
      <c r="BX40" s="124"/>
      <c r="BY40" s="124"/>
      <c r="BZ40" s="124"/>
      <c r="CA40" s="124"/>
      <c r="CB40" s="129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</row>
    <row r="41" spans="1:113" ht="12.75" x14ac:dyDescent="0.2">
      <c r="A41" s="128">
        <v>43587.600062210651</v>
      </c>
      <c r="B41" s="124" t="s">
        <v>280</v>
      </c>
      <c r="C41" s="124" t="s">
        <v>11</v>
      </c>
      <c r="D41" s="124" t="s">
        <v>19</v>
      </c>
      <c r="E41" s="124" t="s">
        <v>18</v>
      </c>
      <c r="F41" s="124" t="s">
        <v>26</v>
      </c>
      <c r="G41" s="124" t="s">
        <v>31</v>
      </c>
      <c r="H41" s="124" t="s">
        <v>38</v>
      </c>
      <c r="I41" s="124" t="s">
        <v>43</v>
      </c>
      <c r="J41" s="124" t="s">
        <v>50</v>
      </c>
      <c r="K41" s="124" t="s">
        <v>287</v>
      </c>
      <c r="L41" s="124" t="s">
        <v>61</v>
      </c>
      <c r="M41" s="129">
        <v>9</v>
      </c>
      <c r="N41" s="129">
        <v>3</v>
      </c>
      <c r="O41" s="129">
        <v>2</v>
      </c>
      <c r="P41" s="129">
        <v>4</v>
      </c>
      <c r="Q41" s="129">
        <v>5</v>
      </c>
      <c r="R41" s="129">
        <v>9</v>
      </c>
      <c r="S41" s="129">
        <v>5</v>
      </c>
      <c r="T41" s="129">
        <v>5</v>
      </c>
      <c r="U41" s="129">
        <v>5</v>
      </c>
      <c r="V41" s="129">
        <v>5</v>
      </c>
      <c r="W41" s="129">
        <v>5</v>
      </c>
      <c r="X41" s="129">
        <v>4</v>
      </c>
      <c r="Y41" s="129">
        <v>5</v>
      </c>
      <c r="Z41" s="129">
        <v>4</v>
      </c>
      <c r="AA41" s="129">
        <v>5</v>
      </c>
      <c r="AB41" s="129">
        <v>5</v>
      </c>
      <c r="AC41" s="129">
        <v>5</v>
      </c>
      <c r="AD41" s="129">
        <v>5</v>
      </c>
      <c r="AE41" s="129">
        <v>5</v>
      </c>
      <c r="AF41" s="129">
        <v>5</v>
      </c>
      <c r="AG41" s="129">
        <v>5</v>
      </c>
      <c r="AH41" s="129">
        <v>5</v>
      </c>
      <c r="AI41" s="124" t="s">
        <v>18</v>
      </c>
      <c r="AJ41" s="129">
        <v>4</v>
      </c>
      <c r="AK41" s="129">
        <v>4</v>
      </c>
      <c r="AL41" s="129">
        <v>1</v>
      </c>
      <c r="AM41" s="129">
        <v>5</v>
      </c>
      <c r="AN41" s="129">
        <v>5</v>
      </c>
      <c r="AO41" s="129">
        <v>5</v>
      </c>
      <c r="AP41" s="129">
        <v>4</v>
      </c>
      <c r="AQ41" s="129">
        <v>9</v>
      </c>
      <c r="AR41" s="129">
        <v>5</v>
      </c>
      <c r="AS41" s="129">
        <v>9</v>
      </c>
      <c r="AT41" s="129">
        <v>9</v>
      </c>
      <c r="AU41" s="129">
        <v>9</v>
      </c>
      <c r="AV41" s="129">
        <v>9</v>
      </c>
      <c r="AW41" s="129">
        <v>9</v>
      </c>
      <c r="AX41" s="129">
        <v>9</v>
      </c>
      <c r="AY41" s="129">
        <v>9</v>
      </c>
      <c r="AZ41" s="129">
        <v>9</v>
      </c>
      <c r="BA41" s="129">
        <v>9</v>
      </c>
      <c r="BB41" s="129">
        <v>9</v>
      </c>
      <c r="BC41" s="129">
        <v>9</v>
      </c>
      <c r="BD41" s="129">
        <v>9</v>
      </c>
      <c r="BE41" s="129">
        <v>1</v>
      </c>
      <c r="BF41" s="124" t="s">
        <v>283</v>
      </c>
      <c r="BG41" s="129">
        <v>1</v>
      </c>
      <c r="BH41" s="124"/>
      <c r="BI41" s="129">
        <v>1</v>
      </c>
      <c r="BJ41" s="124" t="s">
        <v>188</v>
      </c>
      <c r="BK41" s="124" t="s">
        <v>283</v>
      </c>
      <c r="BL41" s="124" t="s">
        <v>18</v>
      </c>
      <c r="BM41" s="124" t="s">
        <v>20</v>
      </c>
      <c r="BN41" s="129">
        <v>9</v>
      </c>
      <c r="BO41" s="124"/>
      <c r="BP41" s="124"/>
      <c r="BQ41" s="124"/>
      <c r="BR41" s="129"/>
      <c r="BS41" s="129"/>
      <c r="BT41" s="129"/>
      <c r="BU41" s="124"/>
      <c r="BV41" s="124"/>
      <c r="BW41" s="124"/>
      <c r="BX41" s="124"/>
      <c r="BY41" s="124"/>
      <c r="BZ41" s="124"/>
      <c r="CA41" s="124"/>
      <c r="CB41" s="129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</row>
    <row r="42" spans="1:113" ht="12.75" x14ac:dyDescent="0.2">
      <c r="A42" s="128">
        <v>43587.6024802662</v>
      </c>
      <c r="B42" s="124" t="s">
        <v>286</v>
      </c>
      <c r="C42" s="124" t="s">
        <v>9</v>
      </c>
      <c r="D42" s="124" t="s">
        <v>19</v>
      </c>
      <c r="E42" s="124" t="s">
        <v>18</v>
      </c>
      <c r="F42" s="124" t="s">
        <v>25</v>
      </c>
      <c r="G42" s="124" t="s">
        <v>32</v>
      </c>
      <c r="H42" s="126" t="s">
        <v>41</v>
      </c>
      <c r="I42" s="124"/>
      <c r="J42" s="124" t="s">
        <v>23</v>
      </c>
      <c r="K42" s="124" t="s">
        <v>285</v>
      </c>
      <c r="L42" s="124" t="s">
        <v>61</v>
      </c>
      <c r="M42" s="129">
        <v>4</v>
      </c>
      <c r="N42" s="129">
        <v>3</v>
      </c>
      <c r="O42" s="129">
        <v>2</v>
      </c>
      <c r="P42" s="129">
        <v>5</v>
      </c>
      <c r="Q42" s="129">
        <v>9</v>
      </c>
      <c r="R42" s="129">
        <v>5</v>
      </c>
      <c r="S42" s="129">
        <v>5</v>
      </c>
      <c r="T42" s="129">
        <v>5</v>
      </c>
      <c r="U42" s="129">
        <v>9</v>
      </c>
      <c r="V42" s="129">
        <v>9</v>
      </c>
      <c r="W42" s="129">
        <v>9</v>
      </c>
      <c r="X42" s="129">
        <v>5</v>
      </c>
      <c r="Y42" s="129">
        <v>4</v>
      </c>
      <c r="Z42" s="129">
        <v>4</v>
      </c>
      <c r="AA42" s="129">
        <v>4</v>
      </c>
      <c r="AB42" s="129">
        <v>4</v>
      </c>
      <c r="AC42" s="129">
        <v>5</v>
      </c>
      <c r="AD42" s="129">
        <v>5</v>
      </c>
      <c r="AE42" s="129">
        <v>5</v>
      </c>
      <c r="AF42" s="129">
        <v>5</v>
      </c>
      <c r="AG42" s="129">
        <v>4</v>
      </c>
      <c r="AH42" s="129">
        <v>5</v>
      </c>
      <c r="AI42" s="124" t="s">
        <v>18</v>
      </c>
      <c r="AJ42" s="129">
        <v>5</v>
      </c>
      <c r="AK42" s="129">
        <v>9</v>
      </c>
      <c r="AL42" s="129">
        <v>9</v>
      </c>
      <c r="AM42" s="129">
        <v>9</v>
      </c>
      <c r="AN42" s="129">
        <v>9</v>
      </c>
      <c r="AO42" s="129">
        <v>9</v>
      </c>
      <c r="AP42" s="129">
        <v>9</v>
      </c>
      <c r="AQ42" s="129">
        <v>9</v>
      </c>
      <c r="AR42" s="129">
        <v>9</v>
      </c>
      <c r="AS42" s="129">
        <v>9</v>
      </c>
      <c r="AT42" s="129">
        <v>9</v>
      </c>
      <c r="AU42" s="129">
        <v>9</v>
      </c>
      <c r="AV42" s="129">
        <v>9</v>
      </c>
      <c r="AW42" s="129">
        <v>9</v>
      </c>
      <c r="AX42" s="129">
        <v>9</v>
      </c>
      <c r="AY42" s="129">
        <v>9</v>
      </c>
      <c r="AZ42" s="129">
        <v>9</v>
      </c>
      <c r="BA42" s="129">
        <v>9</v>
      </c>
      <c r="BB42" s="129">
        <v>9</v>
      </c>
      <c r="BC42" s="129">
        <v>9</v>
      </c>
      <c r="BD42" s="129">
        <v>9</v>
      </c>
      <c r="BE42" s="124" t="s">
        <v>283</v>
      </c>
      <c r="BF42" s="124" t="s">
        <v>283</v>
      </c>
      <c r="BG42" s="124" t="s">
        <v>283</v>
      </c>
      <c r="BH42" s="124"/>
      <c r="BI42" s="129">
        <v>1</v>
      </c>
      <c r="BJ42" s="124" t="s">
        <v>188</v>
      </c>
      <c r="BK42" s="124" t="s">
        <v>283</v>
      </c>
      <c r="BL42" s="124" t="s">
        <v>18</v>
      </c>
      <c r="BM42" s="124" t="s">
        <v>20</v>
      </c>
      <c r="BN42" s="129">
        <v>9</v>
      </c>
      <c r="BO42" s="124"/>
      <c r="BP42" s="124"/>
      <c r="BQ42" s="124"/>
      <c r="BR42" s="129"/>
      <c r="BS42" s="129"/>
      <c r="BT42" s="129"/>
      <c r="BU42" s="124"/>
      <c r="BV42" s="124"/>
      <c r="BW42" s="124"/>
      <c r="BX42" s="124"/>
      <c r="BY42" s="124"/>
      <c r="BZ42" s="124"/>
      <c r="CA42" s="124"/>
      <c r="CB42" s="129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</row>
    <row r="43" spans="1:113" ht="13.5" customHeight="1" x14ac:dyDescent="0.2">
      <c r="A43" s="128">
        <v>43587.604864328707</v>
      </c>
      <c r="B43" s="124" t="s">
        <v>280</v>
      </c>
      <c r="C43" s="124" t="s">
        <v>11</v>
      </c>
      <c r="D43" s="124" t="s">
        <v>16</v>
      </c>
      <c r="E43" s="124" t="s">
        <v>20</v>
      </c>
      <c r="F43" s="124" t="s">
        <v>26</v>
      </c>
      <c r="G43" s="124" t="s">
        <v>29</v>
      </c>
      <c r="H43" s="124" t="s">
        <v>38</v>
      </c>
      <c r="I43" s="124" t="s">
        <v>43</v>
      </c>
      <c r="J43" s="124" t="s">
        <v>52</v>
      </c>
      <c r="K43" s="124" t="s">
        <v>64</v>
      </c>
      <c r="L43" s="124" t="s">
        <v>64</v>
      </c>
      <c r="M43" s="129">
        <v>4</v>
      </c>
      <c r="N43" s="129">
        <v>3</v>
      </c>
      <c r="O43" s="129">
        <v>3</v>
      </c>
      <c r="P43" s="129">
        <v>5</v>
      </c>
      <c r="Q43" s="129">
        <v>4</v>
      </c>
      <c r="R43" s="129">
        <v>9</v>
      </c>
      <c r="S43" s="129">
        <v>5</v>
      </c>
      <c r="T43" s="129">
        <v>4</v>
      </c>
      <c r="U43" s="129">
        <v>5</v>
      </c>
      <c r="V43" s="129">
        <v>4</v>
      </c>
      <c r="W43" s="129">
        <v>4</v>
      </c>
      <c r="X43" s="129">
        <v>2</v>
      </c>
      <c r="Y43" s="129">
        <v>4</v>
      </c>
      <c r="Z43" s="129">
        <v>4</v>
      </c>
      <c r="AA43" s="129">
        <v>5</v>
      </c>
      <c r="AB43" s="129">
        <v>4</v>
      </c>
      <c r="AC43" s="129">
        <v>4</v>
      </c>
      <c r="AD43" s="129">
        <v>4</v>
      </c>
      <c r="AE43" s="129">
        <v>5</v>
      </c>
      <c r="AF43" s="129">
        <v>4</v>
      </c>
      <c r="AG43" s="129">
        <v>4</v>
      </c>
      <c r="AH43" s="129">
        <v>5</v>
      </c>
      <c r="AI43" s="124" t="s">
        <v>20</v>
      </c>
      <c r="AJ43" s="129">
        <v>9</v>
      </c>
      <c r="AK43" s="129">
        <v>4</v>
      </c>
      <c r="AL43" s="129">
        <v>2</v>
      </c>
      <c r="AM43" s="129">
        <v>4</v>
      </c>
      <c r="AN43" s="129">
        <v>4</v>
      </c>
      <c r="AO43" s="129">
        <v>4</v>
      </c>
      <c r="AP43" s="129">
        <v>4</v>
      </c>
      <c r="AQ43" s="129">
        <v>4</v>
      </c>
      <c r="AR43" s="129">
        <v>4</v>
      </c>
      <c r="AS43" s="129">
        <v>3</v>
      </c>
      <c r="AT43" s="129">
        <v>4</v>
      </c>
      <c r="AU43" s="129">
        <v>5</v>
      </c>
      <c r="AV43" s="129">
        <v>4</v>
      </c>
      <c r="AW43" s="129">
        <v>5</v>
      </c>
      <c r="AX43" s="129">
        <v>5</v>
      </c>
      <c r="AY43" s="129">
        <v>1</v>
      </c>
      <c r="AZ43" s="129">
        <v>9</v>
      </c>
      <c r="BA43" s="129">
        <v>1</v>
      </c>
      <c r="BB43" s="129">
        <v>1</v>
      </c>
      <c r="BC43" s="129">
        <v>4</v>
      </c>
      <c r="BD43" s="129">
        <v>4</v>
      </c>
      <c r="BE43" s="129">
        <v>6</v>
      </c>
      <c r="BF43" s="129">
        <v>0</v>
      </c>
      <c r="BG43" s="129">
        <v>3</v>
      </c>
      <c r="BH43" s="124"/>
      <c r="BI43" s="129">
        <v>1</v>
      </c>
      <c r="BJ43" s="124" t="s">
        <v>190</v>
      </c>
      <c r="BK43" s="124" t="s">
        <v>192</v>
      </c>
      <c r="BL43" s="124" t="s">
        <v>20</v>
      </c>
      <c r="BM43" s="124" t="s">
        <v>20</v>
      </c>
      <c r="BN43" s="129">
        <v>9</v>
      </c>
      <c r="BO43" s="124"/>
      <c r="BP43" s="124"/>
      <c r="BQ43" s="124"/>
      <c r="BR43" s="129"/>
      <c r="BS43" s="129"/>
      <c r="BT43" s="129"/>
      <c r="BU43" s="124"/>
      <c r="BV43" s="124"/>
      <c r="BW43" s="124"/>
      <c r="BX43" s="124"/>
      <c r="BY43" s="124"/>
      <c r="BZ43" s="124"/>
      <c r="CA43" s="124"/>
      <c r="CB43" s="129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</row>
    <row r="44" spans="1:113" ht="12.75" x14ac:dyDescent="0.2">
      <c r="A44" s="128">
        <v>43587.606961030091</v>
      </c>
      <c r="B44" s="124" t="s">
        <v>286</v>
      </c>
      <c r="C44" s="124" t="s">
        <v>9</v>
      </c>
      <c r="D44" s="124" t="s">
        <v>16</v>
      </c>
      <c r="E44" s="124" t="s">
        <v>20</v>
      </c>
      <c r="F44" s="124" t="s">
        <v>25</v>
      </c>
      <c r="G44" s="124" t="s">
        <v>31</v>
      </c>
      <c r="H44" s="126" t="s">
        <v>41</v>
      </c>
      <c r="I44" s="124"/>
      <c r="J44" s="124" t="s">
        <v>23</v>
      </c>
      <c r="K44" s="124" t="s">
        <v>285</v>
      </c>
      <c r="L44" s="124" t="s">
        <v>61</v>
      </c>
      <c r="M44" s="129">
        <v>5</v>
      </c>
      <c r="N44" s="129">
        <v>3</v>
      </c>
      <c r="O44" s="129">
        <v>2</v>
      </c>
      <c r="P44" s="129">
        <v>5</v>
      </c>
      <c r="Q44" s="129">
        <v>5</v>
      </c>
      <c r="R44" s="129">
        <v>9</v>
      </c>
      <c r="S44" s="129">
        <v>5</v>
      </c>
      <c r="T44" s="129">
        <v>5</v>
      </c>
      <c r="U44" s="129">
        <v>9</v>
      </c>
      <c r="V44" s="129">
        <v>9</v>
      </c>
      <c r="W44" s="129">
        <v>9</v>
      </c>
      <c r="X44" s="129">
        <v>3</v>
      </c>
      <c r="Y44" s="129">
        <v>5</v>
      </c>
      <c r="Z44" s="129">
        <v>5</v>
      </c>
      <c r="AA44" s="129">
        <v>5</v>
      </c>
      <c r="AB44" s="129">
        <v>5</v>
      </c>
      <c r="AC44" s="129">
        <v>5</v>
      </c>
      <c r="AD44" s="129">
        <v>5</v>
      </c>
      <c r="AE44" s="129">
        <v>5</v>
      </c>
      <c r="AF44" s="129">
        <v>5</v>
      </c>
      <c r="AG44" s="129">
        <v>5</v>
      </c>
      <c r="AH44" s="129">
        <v>5</v>
      </c>
      <c r="AI44" s="124" t="s">
        <v>20</v>
      </c>
      <c r="AJ44" s="129">
        <v>9</v>
      </c>
      <c r="AK44" s="129">
        <v>9</v>
      </c>
      <c r="AL44" s="129">
        <v>9</v>
      </c>
      <c r="AM44" s="129">
        <v>9</v>
      </c>
      <c r="AN44" s="129">
        <v>9</v>
      </c>
      <c r="AO44" s="129">
        <v>9</v>
      </c>
      <c r="AP44" s="129">
        <v>9</v>
      </c>
      <c r="AQ44" s="129">
        <v>9</v>
      </c>
      <c r="AR44" s="129">
        <v>9</v>
      </c>
      <c r="AS44" s="129">
        <v>9</v>
      </c>
      <c r="AT44" s="129">
        <v>9</v>
      </c>
      <c r="AU44" s="129">
        <v>9</v>
      </c>
      <c r="AV44" s="129">
        <v>9</v>
      </c>
      <c r="AW44" s="129">
        <v>9</v>
      </c>
      <c r="AX44" s="129">
        <v>9</v>
      </c>
      <c r="AY44" s="129">
        <v>9</v>
      </c>
      <c r="AZ44" s="129">
        <v>9</v>
      </c>
      <c r="BA44" s="129">
        <v>9</v>
      </c>
      <c r="BB44" s="129">
        <v>9</v>
      </c>
      <c r="BC44" s="129">
        <v>9</v>
      </c>
      <c r="BD44" s="129">
        <v>9</v>
      </c>
      <c r="BE44" s="124" t="s">
        <v>283</v>
      </c>
      <c r="BF44" s="124" t="s">
        <v>283</v>
      </c>
      <c r="BG44" s="124" t="s">
        <v>283</v>
      </c>
      <c r="BH44" s="124"/>
      <c r="BI44" s="129">
        <v>9</v>
      </c>
      <c r="BJ44" s="124" t="s">
        <v>188</v>
      </c>
      <c r="BK44" s="124" t="s">
        <v>283</v>
      </c>
      <c r="BL44" s="124" t="s">
        <v>20</v>
      </c>
      <c r="BM44" s="124" t="s">
        <v>283</v>
      </c>
      <c r="BN44" s="129">
        <v>9</v>
      </c>
      <c r="BO44" s="124"/>
      <c r="BP44" s="124"/>
      <c r="BQ44" s="124"/>
      <c r="BR44" s="129"/>
      <c r="BS44" s="129"/>
      <c r="BT44" s="129"/>
      <c r="BU44" s="124"/>
      <c r="BV44" s="124"/>
      <c r="BW44" s="124"/>
      <c r="BX44" s="124"/>
      <c r="BY44" s="124"/>
      <c r="BZ44" s="124"/>
      <c r="CA44" s="124"/>
      <c r="CB44" s="129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</row>
    <row r="45" spans="1:113" ht="12.75" x14ac:dyDescent="0.2">
      <c r="A45" s="128">
        <v>43587.609019062496</v>
      </c>
      <c r="B45" s="124" t="s">
        <v>286</v>
      </c>
      <c r="C45" s="124" t="s">
        <v>11</v>
      </c>
      <c r="D45" s="124" t="s">
        <v>19</v>
      </c>
      <c r="E45" s="124" t="s">
        <v>18</v>
      </c>
      <c r="F45" s="124" t="s">
        <v>25</v>
      </c>
      <c r="G45" s="124" t="s">
        <v>31</v>
      </c>
      <c r="H45" s="126" t="s">
        <v>41</v>
      </c>
      <c r="I45" s="124"/>
      <c r="J45" s="124" t="s">
        <v>23</v>
      </c>
      <c r="K45" s="124" t="s">
        <v>285</v>
      </c>
      <c r="L45" s="124" t="s">
        <v>61</v>
      </c>
      <c r="M45" s="129">
        <v>5</v>
      </c>
      <c r="N45" s="129">
        <v>3</v>
      </c>
      <c r="O45" s="129">
        <v>1</v>
      </c>
      <c r="P45" s="129">
        <v>5</v>
      </c>
      <c r="Q45" s="129">
        <v>4</v>
      </c>
      <c r="R45" s="129">
        <v>9</v>
      </c>
      <c r="S45" s="129">
        <v>5</v>
      </c>
      <c r="T45" s="129">
        <v>5</v>
      </c>
      <c r="U45" s="129">
        <v>9</v>
      </c>
      <c r="V45" s="129">
        <v>9</v>
      </c>
      <c r="W45" s="129">
        <v>9</v>
      </c>
      <c r="X45" s="129">
        <v>4</v>
      </c>
      <c r="Y45" s="129">
        <v>5</v>
      </c>
      <c r="Z45" s="129">
        <v>4</v>
      </c>
      <c r="AA45" s="129">
        <v>5</v>
      </c>
      <c r="AB45" s="129">
        <v>5</v>
      </c>
      <c r="AC45" s="129">
        <v>5</v>
      </c>
      <c r="AD45" s="129">
        <v>4</v>
      </c>
      <c r="AE45" s="129">
        <v>5</v>
      </c>
      <c r="AF45" s="129">
        <v>5</v>
      </c>
      <c r="AG45" s="129">
        <v>5</v>
      </c>
      <c r="AH45" s="129">
        <v>5</v>
      </c>
      <c r="AI45" s="124" t="s">
        <v>18</v>
      </c>
      <c r="AJ45" s="129">
        <v>3</v>
      </c>
      <c r="AK45" s="129">
        <v>9</v>
      </c>
      <c r="AL45" s="129">
        <v>9</v>
      </c>
      <c r="AM45" s="129">
        <v>9</v>
      </c>
      <c r="AN45" s="129">
        <v>9</v>
      </c>
      <c r="AO45" s="129">
        <v>9</v>
      </c>
      <c r="AP45" s="129">
        <v>9</v>
      </c>
      <c r="AQ45" s="129">
        <v>9</v>
      </c>
      <c r="AR45" s="129">
        <v>9</v>
      </c>
      <c r="AS45" s="129">
        <v>9</v>
      </c>
      <c r="AT45" s="129">
        <v>9</v>
      </c>
      <c r="AU45" s="129">
        <v>9</v>
      </c>
      <c r="AV45" s="129">
        <v>9</v>
      </c>
      <c r="AW45" s="129">
        <v>9</v>
      </c>
      <c r="AX45" s="129">
        <v>9</v>
      </c>
      <c r="AY45" s="129">
        <v>9</v>
      </c>
      <c r="AZ45" s="129">
        <v>9</v>
      </c>
      <c r="BA45" s="129">
        <v>9</v>
      </c>
      <c r="BB45" s="129">
        <v>9</v>
      </c>
      <c r="BC45" s="129">
        <v>9</v>
      </c>
      <c r="BD45" s="129">
        <v>9</v>
      </c>
      <c r="BE45" s="124" t="s">
        <v>283</v>
      </c>
      <c r="BF45" s="124" t="s">
        <v>283</v>
      </c>
      <c r="BG45" s="124" t="s">
        <v>283</v>
      </c>
      <c r="BH45" s="124"/>
      <c r="BI45" s="129">
        <v>1</v>
      </c>
      <c r="BJ45" s="124" t="s">
        <v>188</v>
      </c>
      <c r="BK45" s="124" t="s">
        <v>283</v>
      </c>
      <c r="BL45" s="124" t="s">
        <v>18</v>
      </c>
      <c r="BM45" s="124" t="s">
        <v>20</v>
      </c>
      <c r="BN45" s="129">
        <v>9</v>
      </c>
      <c r="BO45" s="124"/>
      <c r="BP45" s="124"/>
      <c r="BQ45" s="124"/>
      <c r="BR45" s="129"/>
      <c r="BS45" s="129"/>
      <c r="BT45" s="129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</row>
    <row r="46" spans="1:113" ht="12.75" x14ac:dyDescent="0.2">
      <c r="A46" s="128">
        <v>43587.611302303238</v>
      </c>
      <c r="B46" s="124" t="s">
        <v>284</v>
      </c>
      <c r="C46" s="124" t="s">
        <v>9</v>
      </c>
      <c r="D46" s="124" t="s">
        <v>16</v>
      </c>
      <c r="E46" s="124" t="s">
        <v>20</v>
      </c>
      <c r="F46" s="124" t="s">
        <v>26</v>
      </c>
      <c r="G46" s="124" t="s">
        <v>31</v>
      </c>
      <c r="H46" s="124" t="s">
        <v>38</v>
      </c>
      <c r="I46" s="124" t="s">
        <v>46</v>
      </c>
      <c r="J46" s="124" t="s">
        <v>52</v>
      </c>
      <c r="K46" s="124" t="s">
        <v>287</v>
      </c>
      <c r="L46" s="124" t="s">
        <v>61</v>
      </c>
      <c r="M46" s="129">
        <v>4</v>
      </c>
      <c r="N46" s="129">
        <v>3</v>
      </c>
      <c r="O46" s="129">
        <v>2</v>
      </c>
      <c r="P46" s="129">
        <v>5</v>
      </c>
      <c r="Q46" s="129">
        <v>9</v>
      </c>
      <c r="R46" s="129">
        <v>5</v>
      </c>
      <c r="S46" s="129">
        <v>5</v>
      </c>
      <c r="T46" s="129">
        <v>4</v>
      </c>
      <c r="U46" s="129">
        <v>5</v>
      </c>
      <c r="V46" s="129">
        <v>5</v>
      </c>
      <c r="W46" s="129">
        <v>4</v>
      </c>
      <c r="X46" s="129">
        <v>3</v>
      </c>
      <c r="Y46" s="129">
        <v>5</v>
      </c>
      <c r="Z46" s="129">
        <v>5</v>
      </c>
      <c r="AA46" s="129">
        <v>5</v>
      </c>
      <c r="AB46" s="129">
        <v>5</v>
      </c>
      <c r="AC46" s="129">
        <v>5</v>
      </c>
      <c r="AD46" s="129">
        <v>5</v>
      </c>
      <c r="AE46" s="129">
        <v>5</v>
      </c>
      <c r="AF46" s="129">
        <v>5</v>
      </c>
      <c r="AG46" s="129">
        <v>5</v>
      </c>
      <c r="AH46" s="129">
        <v>5</v>
      </c>
      <c r="AI46" s="124" t="s">
        <v>18</v>
      </c>
      <c r="AJ46" s="129">
        <v>4</v>
      </c>
      <c r="AK46" s="129">
        <v>4</v>
      </c>
      <c r="AL46" s="129">
        <v>1</v>
      </c>
      <c r="AM46" s="129">
        <v>5</v>
      </c>
      <c r="AN46" s="129">
        <v>5</v>
      </c>
      <c r="AO46" s="129">
        <v>5</v>
      </c>
      <c r="AP46" s="129">
        <v>5</v>
      </c>
      <c r="AQ46" s="129">
        <v>4</v>
      </c>
      <c r="AR46" s="129">
        <v>5</v>
      </c>
      <c r="AS46" s="129">
        <v>5</v>
      </c>
      <c r="AT46" s="129">
        <v>5</v>
      </c>
      <c r="AU46" s="129">
        <v>5</v>
      </c>
      <c r="AV46" s="129">
        <v>5</v>
      </c>
      <c r="AW46" s="129">
        <v>5</v>
      </c>
      <c r="AX46" s="129">
        <v>5</v>
      </c>
      <c r="AY46" s="129">
        <v>9</v>
      </c>
      <c r="AZ46" s="129">
        <v>9</v>
      </c>
      <c r="BA46" s="129">
        <v>9</v>
      </c>
      <c r="BB46" s="129">
        <v>9</v>
      </c>
      <c r="BC46" s="129">
        <v>9</v>
      </c>
      <c r="BD46" s="129">
        <v>9</v>
      </c>
      <c r="BE46" s="129">
        <v>3</v>
      </c>
      <c r="BF46" s="129">
        <v>0</v>
      </c>
      <c r="BG46" s="129">
        <v>2</v>
      </c>
      <c r="BH46" s="124"/>
      <c r="BI46" s="129">
        <v>1</v>
      </c>
      <c r="BJ46" s="124" t="s">
        <v>188</v>
      </c>
      <c r="BK46" s="124" t="s">
        <v>197</v>
      </c>
      <c r="BL46" s="124" t="s">
        <v>18</v>
      </c>
      <c r="BM46" s="124" t="s">
        <v>20</v>
      </c>
      <c r="BN46" s="129">
        <v>9</v>
      </c>
      <c r="BO46" s="124"/>
      <c r="BP46" s="124"/>
      <c r="BQ46" s="124"/>
      <c r="BR46" s="129"/>
      <c r="BS46" s="129"/>
      <c r="BT46" s="129"/>
      <c r="BU46" s="124"/>
      <c r="BV46" s="124"/>
      <c r="BW46" s="124"/>
      <c r="BX46" s="124"/>
      <c r="BY46" s="124"/>
      <c r="BZ46" s="124"/>
      <c r="CA46" s="124"/>
      <c r="CB46" s="129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</row>
    <row r="47" spans="1:113" ht="12.75" x14ac:dyDescent="0.2">
      <c r="A47" s="128">
        <v>43587.61357001157</v>
      </c>
      <c r="B47" s="124" t="s">
        <v>286</v>
      </c>
      <c r="C47" s="124" t="s">
        <v>11</v>
      </c>
      <c r="D47" s="124" t="s">
        <v>16</v>
      </c>
      <c r="E47" s="124" t="s">
        <v>20</v>
      </c>
      <c r="F47" s="124" t="s">
        <v>26</v>
      </c>
      <c r="G47" s="124" t="s">
        <v>29</v>
      </c>
      <c r="H47" s="126" t="s">
        <v>41</v>
      </c>
      <c r="I47" s="124"/>
      <c r="J47" s="124" t="s">
        <v>23</v>
      </c>
      <c r="K47" s="124" t="s">
        <v>285</v>
      </c>
      <c r="L47" s="124" t="s">
        <v>61</v>
      </c>
      <c r="M47" s="129">
        <v>5</v>
      </c>
      <c r="N47" s="129">
        <v>3</v>
      </c>
      <c r="O47" s="129">
        <v>1</v>
      </c>
      <c r="P47" s="129">
        <v>4</v>
      </c>
      <c r="Q47" s="129">
        <v>5</v>
      </c>
      <c r="R47" s="129">
        <v>9</v>
      </c>
      <c r="S47" s="129">
        <v>5</v>
      </c>
      <c r="T47" s="129">
        <v>5</v>
      </c>
      <c r="U47" s="129">
        <v>4</v>
      </c>
      <c r="V47" s="129">
        <v>4</v>
      </c>
      <c r="W47" s="129">
        <v>5</v>
      </c>
      <c r="X47" s="129">
        <v>2</v>
      </c>
      <c r="Y47" s="129">
        <v>5</v>
      </c>
      <c r="Z47" s="129">
        <v>5</v>
      </c>
      <c r="AA47" s="129">
        <v>5</v>
      </c>
      <c r="AB47" s="129">
        <v>5</v>
      </c>
      <c r="AC47" s="129">
        <v>4</v>
      </c>
      <c r="AD47" s="129">
        <v>5</v>
      </c>
      <c r="AE47" s="129">
        <v>5</v>
      </c>
      <c r="AF47" s="129">
        <v>5</v>
      </c>
      <c r="AG47" s="129">
        <v>5</v>
      </c>
      <c r="AH47" s="129">
        <v>5</v>
      </c>
      <c r="AI47" s="124" t="s">
        <v>20</v>
      </c>
      <c r="AJ47" s="129">
        <v>9</v>
      </c>
      <c r="AK47" s="129">
        <v>9</v>
      </c>
      <c r="AL47" s="129">
        <v>9</v>
      </c>
      <c r="AM47" s="129">
        <v>9</v>
      </c>
      <c r="AN47" s="129">
        <v>9</v>
      </c>
      <c r="AO47" s="129">
        <v>9</v>
      </c>
      <c r="AP47" s="129">
        <v>9</v>
      </c>
      <c r="AQ47" s="129">
        <v>9</v>
      </c>
      <c r="AR47" s="129">
        <v>9</v>
      </c>
      <c r="AS47" s="129">
        <v>9</v>
      </c>
      <c r="AT47" s="129">
        <v>9</v>
      </c>
      <c r="AU47" s="129">
        <v>9</v>
      </c>
      <c r="AV47" s="129">
        <v>9</v>
      </c>
      <c r="AW47" s="129">
        <v>9</v>
      </c>
      <c r="AX47" s="129">
        <v>9</v>
      </c>
      <c r="AY47" s="129">
        <v>9</v>
      </c>
      <c r="AZ47" s="129">
        <v>9</v>
      </c>
      <c r="BA47" s="129">
        <v>9</v>
      </c>
      <c r="BB47" s="129">
        <v>9</v>
      </c>
      <c r="BC47" s="129">
        <v>9</v>
      </c>
      <c r="BD47" s="129">
        <v>9</v>
      </c>
      <c r="BE47" s="124" t="s">
        <v>283</v>
      </c>
      <c r="BF47" s="124" t="s">
        <v>283</v>
      </c>
      <c r="BG47" s="124" t="s">
        <v>283</v>
      </c>
      <c r="BH47" s="124"/>
      <c r="BI47" s="129">
        <v>9</v>
      </c>
      <c r="BJ47" s="124" t="s">
        <v>188</v>
      </c>
      <c r="BK47" s="124" t="s">
        <v>283</v>
      </c>
      <c r="BL47" s="124" t="s">
        <v>20</v>
      </c>
      <c r="BM47" s="124" t="s">
        <v>283</v>
      </c>
      <c r="BN47" s="129">
        <v>9</v>
      </c>
      <c r="BO47" s="124"/>
      <c r="BP47" s="124"/>
      <c r="BQ47" s="124"/>
      <c r="BR47" s="129"/>
      <c r="BS47" s="129"/>
      <c r="BT47" s="129"/>
      <c r="BU47" s="124"/>
      <c r="BV47" s="124"/>
      <c r="BW47" s="124"/>
      <c r="BX47" s="124"/>
      <c r="BY47" s="124"/>
      <c r="BZ47" s="124"/>
      <c r="CA47" s="124"/>
      <c r="CB47" s="129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</row>
    <row r="48" spans="1:113" ht="13.5" customHeight="1" x14ac:dyDescent="0.2">
      <c r="A48" s="128">
        <v>43587.615695578701</v>
      </c>
      <c r="B48" s="124" t="s">
        <v>284</v>
      </c>
      <c r="C48" s="124" t="s">
        <v>9</v>
      </c>
      <c r="D48" s="124" t="s">
        <v>19</v>
      </c>
      <c r="E48" s="124" t="s">
        <v>18</v>
      </c>
      <c r="F48" s="124" t="s">
        <v>26</v>
      </c>
      <c r="G48" s="124" t="s">
        <v>32</v>
      </c>
      <c r="H48" s="124" t="s">
        <v>38</v>
      </c>
      <c r="I48" s="124" t="s">
        <v>43</v>
      </c>
      <c r="J48" s="124" t="s">
        <v>52</v>
      </c>
      <c r="K48" s="124" t="s">
        <v>287</v>
      </c>
      <c r="L48" s="124" t="s">
        <v>61</v>
      </c>
      <c r="M48" s="129">
        <v>4</v>
      </c>
      <c r="N48" s="129">
        <v>3</v>
      </c>
      <c r="O48" s="129">
        <v>3</v>
      </c>
      <c r="P48" s="129">
        <v>5</v>
      </c>
      <c r="Q48" s="129">
        <v>9</v>
      </c>
      <c r="R48" s="129">
        <v>5</v>
      </c>
      <c r="S48" s="129">
        <v>5</v>
      </c>
      <c r="T48" s="129">
        <v>5</v>
      </c>
      <c r="U48" s="129">
        <v>5</v>
      </c>
      <c r="V48" s="129">
        <v>5</v>
      </c>
      <c r="W48" s="129">
        <v>5</v>
      </c>
      <c r="X48" s="129">
        <v>4</v>
      </c>
      <c r="Y48" s="129">
        <v>5</v>
      </c>
      <c r="Z48" s="129">
        <v>5</v>
      </c>
      <c r="AA48" s="129">
        <v>5</v>
      </c>
      <c r="AB48" s="129">
        <v>4</v>
      </c>
      <c r="AC48" s="129">
        <v>5</v>
      </c>
      <c r="AD48" s="129">
        <v>5</v>
      </c>
      <c r="AE48" s="129">
        <v>5</v>
      </c>
      <c r="AF48" s="129">
        <v>5</v>
      </c>
      <c r="AG48" s="129">
        <v>5</v>
      </c>
      <c r="AH48" s="129">
        <v>5</v>
      </c>
      <c r="AI48" s="124" t="s">
        <v>18</v>
      </c>
      <c r="AJ48" s="129">
        <v>4</v>
      </c>
      <c r="AK48" s="129">
        <v>5</v>
      </c>
      <c r="AL48" s="129">
        <v>2</v>
      </c>
      <c r="AM48" s="129">
        <v>4</v>
      </c>
      <c r="AN48" s="129">
        <v>5</v>
      </c>
      <c r="AO48" s="129">
        <v>5</v>
      </c>
      <c r="AP48" s="129">
        <v>4</v>
      </c>
      <c r="AQ48" s="129">
        <v>4</v>
      </c>
      <c r="AR48" s="129">
        <v>4</v>
      </c>
      <c r="AS48" s="129">
        <v>4</v>
      </c>
      <c r="AT48" s="129">
        <v>5</v>
      </c>
      <c r="AU48" s="129">
        <v>5</v>
      </c>
      <c r="AV48" s="129">
        <v>5</v>
      </c>
      <c r="AW48" s="129">
        <v>5</v>
      </c>
      <c r="AX48" s="129">
        <v>5</v>
      </c>
      <c r="AY48" s="129">
        <v>9</v>
      </c>
      <c r="AZ48" s="129">
        <v>9</v>
      </c>
      <c r="BA48" s="129">
        <v>9</v>
      </c>
      <c r="BB48" s="129">
        <v>9</v>
      </c>
      <c r="BC48" s="129">
        <v>9</v>
      </c>
      <c r="BD48" s="129">
        <v>9</v>
      </c>
      <c r="BE48" s="129">
        <v>3</v>
      </c>
      <c r="BF48" s="129">
        <v>0</v>
      </c>
      <c r="BG48" s="129">
        <v>4</v>
      </c>
      <c r="BH48" s="124"/>
      <c r="BI48" s="129">
        <v>1</v>
      </c>
      <c r="BJ48" s="130" t="s">
        <v>188</v>
      </c>
      <c r="BK48" s="124" t="s">
        <v>197</v>
      </c>
      <c r="BL48" s="124" t="s">
        <v>18</v>
      </c>
      <c r="BM48" s="124" t="s">
        <v>20</v>
      </c>
      <c r="BN48" s="129">
        <v>9</v>
      </c>
      <c r="BO48" s="124"/>
      <c r="BP48" s="124"/>
      <c r="BQ48" s="124"/>
      <c r="BR48" s="129"/>
      <c r="BS48" s="129"/>
      <c r="BT48" s="129"/>
      <c r="BU48" s="124"/>
      <c r="BV48" s="124"/>
      <c r="BW48" s="124"/>
      <c r="BX48" s="124"/>
      <c r="BY48" s="124"/>
      <c r="BZ48" s="124"/>
      <c r="CA48" s="124"/>
      <c r="CB48" s="129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</row>
    <row r="49" spans="1:113" ht="12.75" x14ac:dyDescent="0.2">
      <c r="A49" s="128">
        <v>43587.617658414354</v>
      </c>
      <c r="B49" s="124" t="s">
        <v>286</v>
      </c>
      <c r="C49" s="124" t="s">
        <v>9</v>
      </c>
      <c r="D49" s="124" t="s">
        <v>16</v>
      </c>
      <c r="E49" s="124" t="s">
        <v>20</v>
      </c>
      <c r="F49" s="124" t="s">
        <v>26</v>
      </c>
      <c r="G49" s="124" t="s">
        <v>31</v>
      </c>
      <c r="H49" s="126" t="s">
        <v>41</v>
      </c>
      <c r="I49" s="124"/>
      <c r="J49" s="124" t="s">
        <v>23</v>
      </c>
      <c r="K49" s="124" t="s">
        <v>285</v>
      </c>
      <c r="L49" s="124" t="s">
        <v>61</v>
      </c>
      <c r="M49" s="129">
        <v>5</v>
      </c>
      <c r="N49" s="129">
        <v>3</v>
      </c>
      <c r="O49" s="129">
        <v>1</v>
      </c>
      <c r="P49" s="129">
        <v>4</v>
      </c>
      <c r="Q49" s="129">
        <v>4</v>
      </c>
      <c r="R49" s="129">
        <v>9</v>
      </c>
      <c r="S49" s="129">
        <v>5</v>
      </c>
      <c r="T49" s="129">
        <v>5</v>
      </c>
      <c r="U49" s="129">
        <v>9</v>
      </c>
      <c r="V49" s="129">
        <v>9</v>
      </c>
      <c r="W49" s="129">
        <v>9</v>
      </c>
      <c r="X49" s="129">
        <v>1</v>
      </c>
      <c r="Y49" s="129">
        <v>5</v>
      </c>
      <c r="Z49" s="129">
        <v>4</v>
      </c>
      <c r="AA49" s="129">
        <v>5</v>
      </c>
      <c r="AB49" s="129">
        <v>5</v>
      </c>
      <c r="AC49" s="129">
        <v>4</v>
      </c>
      <c r="AD49" s="129">
        <v>4</v>
      </c>
      <c r="AE49" s="129">
        <v>4</v>
      </c>
      <c r="AF49" s="129">
        <v>4</v>
      </c>
      <c r="AG49" s="129">
        <v>4</v>
      </c>
      <c r="AH49" s="129">
        <v>4</v>
      </c>
      <c r="AI49" s="124" t="s">
        <v>20</v>
      </c>
      <c r="AJ49" s="129">
        <v>9</v>
      </c>
      <c r="AK49" s="129">
        <v>9</v>
      </c>
      <c r="AL49" s="129">
        <v>9</v>
      </c>
      <c r="AM49" s="129">
        <v>9</v>
      </c>
      <c r="AN49" s="129">
        <v>9</v>
      </c>
      <c r="AO49" s="129">
        <v>9</v>
      </c>
      <c r="AP49" s="129">
        <v>9</v>
      </c>
      <c r="AQ49" s="129">
        <v>9</v>
      </c>
      <c r="AR49" s="129">
        <v>9</v>
      </c>
      <c r="AS49" s="129">
        <v>9</v>
      </c>
      <c r="AT49" s="129">
        <v>9</v>
      </c>
      <c r="AU49" s="129">
        <v>9</v>
      </c>
      <c r="AV49" s="129">
        <v>9</v>
      </c>
      <c r="AW49" s="129">
        <v>9</v>
      </c>
      <c r="AX49" s="129">
        <v>9</v>
      </c>
      <c r="AY49" s="129">
        <v>9</v>
      </c>
      <c r="AZ49" s="129">
        <v>9</v>
      </c>
      <c r="BA49" s="129">
        <v>9</v>
      </c>
      <c r="BB49" s="129">
        <v>9</v>
      </c>
      <c r="BC49" s="129">
        <v>9</v>
      </c>
      <c r="BD49" s="129">
        <v>9</v>
      </c>
      <c r="BE49" s="124" t="s">
        <v>283</v>
      </c>
      <c r="BF49" s="124" t="s">
        <v>283</v>
      </c>
      <c r="BG49" s="124" t="s">
        <v>283</v>
      </c>
      <c r="BH49" s="124"/>
      <c r="BI49" s="129">
        <v>9</v>
      </c>
      <c r="BJ49" s="124" t="s">
        <v>283</v>
      </c>
      <c r="BK49" s="124" t="s">
        <v>283</v>
      </c>
      <c r="BL49" s="124" t="s">
        <v>20</v>
      </c>
      <c r="BM49" s="124" t="s">
        <v>283</v>
      </c>
      <c r="BN49" s="129">
        <v>9</v>
      </c>
      <c r="BO49" s="124"/>
      <c r="BP49" s="124"/>
      <c r="BQ49" s="124"/>
      <c r="BR49" s="129"/>
      <c r="BS49" s="129"/>
      <c r="BT49" s="129"/>
      <c r="BU49" s="124"/>
      <c r="BV49" s="124"/>
      <c r="BW49" s="124"/>
      <c r="BX49" s="124"/>
      <c r="BY49" s="124"/>
      <c r="BZ49" s="124"/>
      <c r="CA49" s="124"/>
      <c r="CB49" s="129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</row>
    <row r="50" spans="1:113" ht="13.5" customHeight="1" x14ac:dyDescent="0.2">
      <c r="A50" s="128">
        <v>43587.61967295139</v>
      </c>
      <c r="B50" s="124" t="s">
        <v>284</v>
      </c>
      <c r="C50" s="124" t="s">
        <v>11</v>
      </c>
      <c r="D50" s="124" t="s">
        <v>19</v>
      </c>
      <c r="E50" s="124" t="s">
        <v>18</v>
      </c>
      <c r="F50" s="124" t="s">
        <v>25</v>
      </c>
      <c r="G50" s="124" t="s">
        <v>31</v>
      </c>
      <c r="H50" s="126" t="s">
        <v>41</v>
      </c>
      <c r="I50" s="124"/>
      <c r="J50" s="124" t="s">
        <v>23</v>
      </c>
      <c r="K50" s="124" t="s">
        <v>285</v>
      </c>
      <c r="L50" s="124" t="s">
        <v>61</v>
      </c>
      <c r="M50" s="129">
        <v>4</v>
      </c>
      <c r="N50" s="129">
        <v>3</v>
      </c>
      <c r="O50" s="129">
        <v>3</v>
      </c>
      <c r="P50" s="129">
        <v>5</v>
      </c>
      <c r="Q50" s="129">
        <v>4</v>
      </c>
      <c r="R50" s="129">
        <v>9</v>
      </c>
      <c r="S50" s="129">
        <v>5</v>
      </c>
      <c r="T50" s="129">
        <v>5</v>
      </c>
      <c r="U50" s="129">
        <v>3</v>
      </c>
      <c r="V50" s="129">
        <v>4</v>
      </c>
      <c r="W50" s="129">
        <v>4</v>
      </c>
      <c r="X50" s="129">
        <v>3</v>
      </c>
      <c r="Y50" s="129">
        <v>5</v>
      </c>
      <c r="Z50" s="129">
        <v>5</v>
      </c>
      <c r="AA50" s="129">
        <v>5</v>
      </c>
      <c r="AB50" s="129">
        <v>4</v>
      </c>
      <c r="AC50" s="129">
        <v>4</v>
      </c>
      <c r="AD50" s="129">
        <v>4</v>
      </c>
      <c r="AE50" s="129">
        <v>4</v>
      </c>
      <c r="AF50" s="129">
        <v>4</v>
      </c>
      <c r="AG50" s="129">
        <v>4</v>
      </c>
      <c r="AH50" s="129">
        <v>4</v>
      </c>
      <c r="AI50" s="124" t="s">
        <v>18</v>
      </c>
      <c r="AJ50" s="129">
        <v>4</v>
      </c>
      <c r="AK50" s="129">
        <v>9</v>
      </c>
      <c r="AL50" s="129">
        <v>9</v>
      </c>
      <c r="AM50" s="129">
        <v>9</v>
      </c>
      <c r="AN50" s="129">
        <v>9</v>
      </c>
      <c r="AO50" s="129">
        <v>9</v>
      </c>
      <c r="AP50" s="129">
        <v>9</v>
      </c>
      <c r="AQ50" s="129">
        <v>9</v>
      </c>
      <c r="AR50" s="129">
        <v>9</v>
      </c>
      <c r="AS50" s="129">
        <v>9</v>
      </c>
      <c r="AT50" s="129">
        <v>9</v>
      </c>
      <c r="AU50" s="129">
        <v>9</v>
      </c>
      <c r="AV50" s="129">
        <v>9</v>
      </c>
      <c r="AW50" s="129">
        <v>9</v>
      </c>
      <c r="AX50" s="129">
        <v>9</v>
      </c>
      <c r="AY50" s="129">
        <v>9</v>
      </c>
      <c r="AZ50" s="129">
        <v>9</v>
      </c>
      <c r="BA50" s="129">
        <v>9</v>
      </c>
      <c r="BB50" s="129">
        <v>9</v>
      </c>
      <c r="BC50" s="129">
        <v>9</v>
      </c>
      <c r="BD50" s="129">
        <v>9</v>
      </c>
      <c r="BE50" s="124" t="s">
        <v>283</v>
      </c>
      <c r="BF50" s="124" t="s">
        <v>283</v>
      </c>
      <c r="BG50" s="124" t="s">
        <v>283</v>
      </c>
      <c r="BH50" s="124"/>
      <c r="BI50" s="129">
        <v>1</v>
      </c>
      <c r="BJ50" s="124" t="s">
        <v>188</v>
      </c>
      <c r="BK50" s="124" t="s">
        <v>283</v>
      </c>
      <c r="BL50" s="124" t="s">
        <v>20</v>
      </c>
      <c r="BM50" s="124" t="s">
        <v>283</v>
      </c>
      <c r="BN50" s="129">
        <v>9</v>
      </c>
      <c r="BO50" s="124"/>
      <c r="BP50" s="124"/>
      <c r="BQ50" s="124"/>
      <c r="BR50" s="129"/>
      <c r="BS50" s="129"/>
      <c r="BT50" s="129"/>
      <c r="BU50" s="124"/>
      <c r="BV50" s="124"/>
      <c r="BW50" s="124"/>
      <c r="BX50" s="124"/>
      <c r="BY50" s="124"/>
      <c r="BZ50" s="124"/>
      <c r="CA50" s="124"/>
      <c r="CB50" s="129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</row>
    <row r="51" spans="1:113" ht="12.75" x14ac:dyDescent="0.2">
      <c r="A51" s="128">
        <v>43587.621676793977</v>
      </c>
      <c r="B51" s="124" t="s">
        <v>284</v>
      </c>
      <c r="C51" s="124" t="s">
        <v>11</v>
      </c>
      <c r="D51" s="124" t="s">
        <v>19</v>
      </c>
      <c r="E51" s="124" t="s">
        <v>18</v>
      </c>
      <c r="F51" s="124" t="s">
        <v>25</v>
      </c>
      <c r="G51" s="124" t="s">
        <v>31</v>
      </c>
      <c r="H51" s="126" t="s">
        <v>41</v>
      </c>
      <c r="I51" s="124"/>
      <c r="J51" s="124" t="s">
        <v>23</v>
      </c>
      <c r="K51" s="124" t="s">
        <v>285</v>
      </c>
      <c r="L51" s="124" t="s">
        <v>61</v>
      </c>
      <c r="M51" s="129">
        <v>4</v>
      </c>
      <c r="N51" s="129">
        <v>3</v>
      </c>
      <c r="O51" s="129">
        <v>9</v>
      </c>
      <c r="P51" s="129">
        <v>4</v>
      </c>
      <c r="Q51" s="129">
        <v>4</v>
      </c>
      <c r="R51" s="129">
        <v>9</v>
      </c>
      <c r="S51" s="129">
        <v>5</v>
      </c>
      <c r="T51" s="129">
        <v>5</v>
      </c>
      <c r="U51" s="129">
        <v>9</v>
      </c>
      <c r="V51" s="129">
        <v>9</v>
      </c>
      <c r="W51" s="129">
        <v>9</v>
      </c>
      <c r="X51" s="129">
        <v>3</v>
      </c>
      <c r="Y51" s="129">
        <v>5</v>
      </c>
      <c r="Z51" s="129">
        <v>5</v>
      </c>
      <c r="AA51" s="129">
        <v>4</v>
      </c>
      <c r="AB51" s="129">
        <v>5</v>
      </c>
      <c r="AC51" s="129">
        <v>5</v>
      </c>
      <c r="AD51" s="129">
        <v>4</v>
      </c>
      <c r="AE51" s="129">
        <v>5</v>
      </c>
      <c r="AF51" s="129">
        <v>5</v>
      </c>
      <c r="AG51" s="129">
        <v>5</v>
      </c>
      <c r="AH51" s="129">
        <v>5</v>
      </c>
      <c r="AI51" s="124" t="s">
        <v>20</v>
      </c>
      <c r="AJ51" s="129">
        <v>9</v>
      </c>
      <c r="AK51" s="129">
        <v>9</v>
      </c>
      <c r="AL51" s="129">
        <v>9</v>
      </c>
      <c r="AM51" s="129">
        <v>9</v>
      </c>
      <c r="AN51" s="129">
        <v>9</v>
      </c>
      <c r="AO51" s="129">
        <v>9</v>
      </c>
      <c r="AP51" s="129">
        <v>9</v>
      </c>
      <c r="AQ51" s="129">
        <v>9</v>
      </c>
      <c r="AR51" s="129">
        <v>9</v>
      </c>
      <c r="AS51" s="129">
        <v>9</v>
      </c>
      <c r="AT51" s="129">
        <v>9</v>
      </c>
      <c r="AU51" s="129">
        <v>9</v>
      </c>
      <c r="AV51" s="129">
        <v>9</v>
      </c>
      <c r="AW51" s="129">
        <v>9</v>
      </c>
      <c r="AX51" s="129">
        <v>9</v>
      </c>
      <c r="AY51" s="129">
        <v>9</v>
      </c>
      <c r="AZ51" s="129">
        <v>9</v>
      </c>
      <c r="BA51" s="129">
        <v>9</v>
      </c>
      <c r="BB51" s="129">
        <v>9</v>
      </c>
      <c r="BC51" s="129">
        <v>9</v>
      </c>
      <c r="BD51" s="129">
        <v>9</v>
      </c>
      <c r="BE51" s="124" t="s">
        <v>283</v>
      </c>
      <c r="BF51" s="124" t="s">
        <v>283</v>
      </c>
      <c r="BG51" s="124" t="s">
        <v>283</v>
      </c>
      <c r="BH51" s="124"/>
      <c r="BI51" s="129">
        <v>9</v>
      </c>
      <c r="BJ51" s="124" t="s">
        <v>188</v>
      </c>
      <c r="BK51" s="124" t="s">
        <v>197</v>
      </c>
      <c r="BL51" s="124" t="s">
        <v>20</v>
      </c>
      <c r="BM51" s="124" t="s">
        <v>283</v>
      </c>
      <c r="BN51" s="129">
        <v>9</v>
      </c>
      <c r="BO51" s="124"/>
      <c r="BP51" s="124"/>
      <c r="BQ51" s="124"/>
      <c r="BR51" s="129"/>
      <c r="BS51" s="129"/>
      <c r="BT51" s="129"/>
      <c r="BU51" s="124"/>
      <c r="BV51" s="124"/>
      <c r="BW51" s="124"/>
      <c r="BX51" s="124"/>
      <c r="BY51" s="124"/>
      <c r="BZ51" s="124"/>
      <c r="CA51" s="124"/>
      <c r="CB51" s="129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</row>
    <row r="52" spans="1:113" ht="12.75" x14ac:dyDescent="0.2">
      <c r="A52" s="128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4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4"/>
      <c r="BF52" s="124"/>
      <c r="BG52" s="124"/>
      <c r="BH52" s="124"/>
      <c r="BI52" s="129"/>
      <c r="BJ52" s="124"/>
      <c r="BK52" s="124"/>
      <c r="BL52" s="124"/>
      <c r="BM52" s="124"/>
      <c r="BN52" s="129"/>
      <c r="BO52" s="124"/>
      <c r="BP52" s="124"/>
      <c r="BQ52" s="124"/>
      <c r="BR52" s="129"/>
      <c r="BS52" s="129"/>
      <c r="BT52" s="129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</row>
    <row r="53" spans="1:113" ht="12.75" x14ac:dyDescent="0.2">
      <c r="A53" s="128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4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4"/>
      <c r="BG53" s="124"/>
      <c r="BH53" s="124"/>
      <c r="BI53" s="129"/>
      <c r="BJ53" s="124"/>
      <c r="BK53" s="124"/>
      <c r="BL53" s="124"/>
      <c r="BM53" s="124"/>
      <c r="BN53" s="129"/>
      <c r="BO53" s="124"/>
      <c r="BP53" s="127"/>
      <c r="BQ53" s="124"/>
      <c r="BR53" s="129"/>
      <c r="BS53" s="129"/>
      <c r="BT53" s="129"/>
      <c r="BU53" s="124"/>
      <c r="BV53" s="124"/>
      <c r="BW53" s="124"/>
      <c r="BX53" s="124"/>
      <c r="BY53" s="124"/>
      <c r="BZ53" s="124"/>
      <c r="CA53" s="124"/>
      <c r="CB53" s="129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</row>
    <row r="54" spans="1:113" ht="12.75" x14ac:dyDescent="0.2">
      <c r="A54" s="128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4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4"/>
      <c r="BG54" s="124"/>
      <c r="BH54" s="124"/>
      <c r="BI54" s="129"/>
      <c r="BJ54" s="130"/>
      <c r="BK54" s="124"/>
      <c r="BL54" s="124"/>
      <c r="BM54" s="124"/>
      <c r="BN54" s="129"/>
      <c r="BO54" s="124"/>
      <c r="BP54" s="124"/>
      <c r="BQ54" s="124"/>
      <c r="BR54" s="129"/>
      <c r="BS54" s="129"/>
      <c r="BT54" s="129"/>
      <c r="BU54" s="124"/>
      <c r="BV54" s="124"/>
      <c r="BW54" s="124"/>
      <c r="BX54" s="124"/>
      <c r="BY54" s="124"/>
      <c r="BZ54" s="124"/>
      <c r="CA54" s="124"/>
      <c r="CB54" s="129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</row>
    <row r="55" spans="1:113" ht="13.5" customHeight="1" x14ac:dyDescent="0.2">
      <c r="A55" s="128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4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4"/>
      <c r="BG55" s="124"/>
      <c r="BH55" s="124"/>
      <c r="BI55" s="129"/>
      <c r="BJ55" s="124"/>
      <c r="BK55" s="124"/>
      <c r="BL55" s="124"/>
      <c r="BM55" s="124"/>
      <c r="BN55" s="129"/>
      <c r="BO55" s="124"/>
      <c r="BP55" s="124"/>
      <c r="BQ55" s="124"/>
      <c r="BR55" s="129"/>
      <c r="BS55" s="129"/>
      <c r="BT55" s="129"/>
      <c r="BU55" s="124"/>
      <c r="BV55" s="124"/>
      <c r="BW55" s="124"/>
      <c r="BX55" s="124"/>
      <c r="BY55" s="124"/>
      <c r="BZ55" s="124"/>
      <c r="CA55" s="124"/>
      <c r="CB55" s="129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</row>
    <row r="56" spans="1:113" ht="12.75" x14ac:dyDescent="0.2">
      <c r="A56" s="128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4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4"/>
      <c r="BG56" s="124"/>
      <c r="BH56" s="124"/>
      <c r="BI56" s="129"/>
      <c r="BJ56" s="124"/>
      <c r="BK56" s="124"/>
      <c r="BL56" s="124"/>
      <c r="BM56" s="124"/>
      <c r="BN56" s="129"/>
      <c r="BO56" s="124"/>
      <c r="BP56" s="124"/>
      <c r="BQ56" s="124"/>
      <c r="BR56" s="129"/>
      <c r="BS56" s="129"/>
      <c r="BT56" s="129"/>
      <c r="BU56" s="124"/>
      <c r="BV56" s="124"/>
      <c r="BW56" s="124"/>
      <c r="BX56" s="124"/>
      <c r="BY56" s="124"/>
      <c r="BZ56" s="124"/>
      <c r="CA56" s="124"/>
      <c r="CB56" s="129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</row>
    <row r="57" spans="1:113" ht="13.5" customHeight="1" x14ac:dyDescent="0.2">
      <c r="A57" s="128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4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4"/>
      <c r="BG57" s="129"/>
      <c r="BH57" s="124"/>
      <c r="BI57" s="129"/>
      <c r="BJ57" s="124"/>
      <c r="BK57" s="124"/>
      <c r="BL57" s="124"/>
      <c r="BM57" s="124"/>
      <c r="BN57" s="129"/>
      <c r="BO57" s="124"/>
      <c r="BP57" s="124"/>
      <c r="BQ57" s="124"/>
      <c r="BR57" s="129"/>
      <c r="BS57" s="129"/>
      <c r="BT57" s="129"/>
      <c r="BU57" s="124"/>
      <c r="BV57" s="124"/>
      <c r="BW57" s="124"/>
      <c r="BX57" s="124"/>
      <c r="BY57" s="124"/>
      <c r="BZ57" s="124"/>
      <c r="CA57" s="124"/>
      <c r="CB57" s="129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</row>
    <row r="58" spans="1:113" ht="12.75" x14ac:dyDescent="0.2">
      <c r="A58" s="128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4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4"/>
      <c r="BG58" s="124"/>
      <c r="BH58" s="124"/>
      <c r="BI58" s="129"/>
      <c r="BJ58" s="124"/>
      <c r="BK58" s="124"/>
      <c r="BL58" s="124"/>
      <c r="BM58" s="124"/>
      <c r="BN58" s="129"/>
      <c r="BO58" s="124"/>
      <c r="BP58" s="124"/>
      <c r="BQ58" s="124"/>
      <c r="BR58" s="129"/>
      <c r="BS58" s="129"/>
      <c r="BT58" s="129"/>
      <c r="BU58" s="124"/>
      <c r="BV58" s="124"/>
      <c r="BW58" s="124"/>
      <c r="BX58" s="124"/>
      <c r="BY58" s="124"/>
      <c r="BZ58" s="124"/>
      <c r="CA58" s="124"/>
      <c r="CB58" s="129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</row>
    <row r="59" spans="1:113" ht="12.75" x14ac:dyDescent="0.2">
      <c r="A59" s="128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4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4"/>
      <c r="BF59" s="124"/>
      <c r="BG59" s="124"/>
      <c r="BH59" s="124"/>
      <c r="BI59" s="129"/>
      <c r="BJ59" s="124"/>
      <c r="BK59" s="124"/>
      <c r="BL59" s="124"/>
      <c r="BM59" s="124"/>
      <c r="BN59" s="129"/>
      <c r="BO59" s="124"/>
      <c r="BP59" s="124"/>
      <c r="BQ59" s="124"/>
      <c r="BR59" s="129"/>
      <c r="BS59" s="129"/>
      <c r="BT59" s="129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</row>
    <row r="60" spans="1:113" ht="12.75" x14ac:dyDescent="0.2">
      <c r="A60" s="128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4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4"/>
      <c r="BF60" s="124"/>
      <c r="BG60" s="124"/>
      <c r="BH60" s="124"/>
      <c r="BI60" s="129"/>
      <c r="BJ60" s="130"/>
      <c r="BK60" s="124"/>
      <c r="BL60" s="124"/>
      <c r="BM60" s="124"/>
      <c r="BN60" s="129"/>
      <c r="BO60" s="124"/>
      <c r="BP60" s="124"/>
      <c r="BQ60" s="124"/>
      <c r="BR60" s="129"/>
      <c r="BS60" s="129"/>
      <c r="BT60" s="129"/>
      <c r="BU60" s="124"/>
      <c r="BV60" s="124"/>
      <c r="BW60" s="124"/>
      <c r="BX60" s="124"/>
      <c r="BY60" s="124"/>
      <c r="BZ60" s="124"/>
      <c r="CA60" s="124"/>
      <c r="CB60" s="129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</row>
    <row r="61" spans="1:113" ht="12.75" x14ac:dyDescent="0.2">
      <c r="A61" s="128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4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4"/>
      <c r="BF61" s="124"/>
      <c r="BG61" s="124"/>
      <c r="BH61" s="124"/>
      <c r="BI61" s="129"/>
      <c r="BJ61" s="124"/>
      <c r="BK61" s="124"/>
      <c r="BL61" s="124"/>
      <c r="BM61" s="124"/>
      <c r="BN61" s="129"/>
      <c r="BO61" s="124"/>
      <c r="BP61" s="124"/>
      <c r="BQ61" s="124"/>
      <c r="BR61" s="129"/>
      <c r="BS61" s="129"/>
      <c r="BT61" s="129"/>
      <c r="BU61" s="124"/>
      <c r="BV61" s="124"/>
      <c r="BW61" s="124"/>
      <c r="BX61" s="124"/>
      <c r="BY61" s="124"/>
      <c r="BZ61" s="124"/>
      <c r="CA61" s="124"/>
      <c r="CB61" s="129"/>
      <c r="CC61" s="129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</row>
    <row r="62" spans="1:113" ht="12.75" x14ac:dyDescent="0.2">
      <c r="A62" s="128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4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4"/>
      <c r="BI62" s="129"/>
      <c r="BJ62" s="124"/>
      <c r="BK62" s="124"/>
      <c r="BL62" s="124"/>
      <c r="BM62" s="124"/>
      <c r="BN62" s="129"/>
      <c r="BO62" s="124"/>
      <c r="BP62" s="124"/>
      <c r="BQ62" s="124"/>
      <c r="BR62" s="129"/>
      <c r="BS62" s="129"/>
      <c r="BT62" s="129"/>
      <c r="BU62" s="124"/>
      <c r="BV62" s="126"/>
      <c r="BW62" s="124"/>
      <c r="BX62" s="124"/>
      <c r="BY62" s="124"/>
      <c r="BZ62" s="124"/>
      <c r="CA62" s="124"/>
      <c r="CB62" s="129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</row>
    <row r="63" spans="1:113" ht="12.75" x14ac:dyDescent="0.2">
      <c r="A63" s="128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4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4"/>
      <c r="BF63" s="124"/>
      <c r="BG63" s="124"/>
      <c r="BH63" s="124"/>
      <c r="BI63" s="129"/>
      <c r="BJ63" s="124"/>
      <c r="BK63" s="124"/>
      <c r="BL63" s="124"/>
      <c r="BM63" s="124"/>
      <c r="BN63" s="129"/>
      <c r="BO63" s="124"/>
      <c r="BP63" s="124"/>
      <c r="BQ63" s="124"/>
      <c r="BR63" s="129"/>
      <c r="BS63" s="129"/>
      <c r="BT63" s="129"/>
      <c r="BU63" s="124"/>
      <c r="BV63" s="126"/>
      <c r="BW63" s="124"/>
      <c r="BX63" s="124"/>
      <c r="BY63" s="124"/>
      <c r="BZ63" s="124"/>
      <c r="CA63" s="124"/>
      <c r="CB63" s="129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</row>
    <row r="64" spans="1:113" ht="12.75" x14ac:dyDescent="0.2">
      <c r="A64" s="128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4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4"/>
      <c r="BF64" s="124"/>
      <c r="BG64" s="124"/>
      <c r="BH64" s="124"/>
      <c r="BI64" s="129"/>
      <c r="BJ64" s="124"/>
      <c r="BK64" s="124"/>
      <c r="BL64" s="124"/>
      <c r="BM64" s="124"/>
      <c r="BN64" s="129"/>
      <c r="BO64" s="124"/>
      <c r="BP64" s="124"/>
      <c r="BQ64" s="124"/>
      <c r="BR64" s="129"/>
      <c r="BS64" s="129"/>
      <c r="BT64" s="129"/>
      <c r="BU64" s="124"/>
      <c r="BV64" s="124"/>
      <c r="BW64" s="124"/>
      <c r="BX64" s="124"/>
      <c r="BY64" s="124"/>
      <c r="BZ64" s="124"/>
      <c r="CA64" s="124"/>
      <c r="CB64" s="129"/>
      <c r="CC64" s="129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</row>
    <row r="65" spans="1:113" ht="12.75" x14ac:dyDescent="0.2">
      <c r="A65" s="128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4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4"/>
      <c r="BF65" s="124"/>
      <c r="BG65" s="124"/>
      <c r="BH65" s="124"/>
      <c r="BI65" s="129"/>
      <c r="BJ65" s="124"/>
      <c r="BK65" s="124"/>
      <c r="BL65" s="124"/>
      <c r="BM65" s="124"/>
      <c r="BN65" s="129"/>
      <c r="BO65" s="124"/>
      <c r="BP65" s="124"/>
      <c r="BQ65" s="124"/>
      <c r="BR65" s="129"/>
      <c r="BS65" s="129"/>
      <c r="BT65" s="129"/>
      <c r="BU65" s="124"/>
      <c r="BV65" s="126"/>
      <c r="BW65" s="124"/>
      <c r="BX65" s="124"/>
      <c r="BY65" s="124"/>
      <c r="BZ65" s="124"/>
      <c r="CA65" s="124"/>
      <c r="CB65" s="129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</row>
    <row r="66" spans="1:113" ht="12.75" x14ac:dyDescent="0.2">
      <c r="A66" s="128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4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4"/>
      <c r="BF66" s="124"/>
      <c r="BG66" s="124"/>
      <c r="BH66" s="124"/>
      <c r="BI66" s="129"/>
      <c r="BJ66" s="124"/>
      <c r="BK66" s="124"/>
      <c r="BL66" s="124"/>
      <c r="BM66" s="124"/>
      <c r="BN66" s="129"/>
      <c r="BO66" s="124"/>
      <c r="BP66" s="124"/>
      <c r="BQ66" s="124"/>
      <c r="BR66" s="129"/>
      <c r="BS66" s="129"/>
      <c r="BT66" s="129"/>
      <c r="BU66" s="124"/>
      <c r="BV66" s="124"/>
      <c r="BW66" s="124"/>
      <c r="BX66" s="124"/>
      <c r="BY66" s="124"/>
      <c r="BZ66" s="124"/>
      <c r="CA66" s="124"/>
      <c r="CB66" s="129"/>
      <c r="CC66" s="129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</row>
    <row r="67" spans="1:113" ht="12.75" x14ac:dyDescent="0.2">
      <c r="A67" s="128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4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4"/>
      <c r="BF67" s="124"/>
      <c r="BG67" s="124"/>
      <c r="BH67" s="124"/>
      <c r="BI67" s="129"/>
      <c r="BJ67" s="124"/>
      <c r="BK67" s="124"/>
      <c r="BL67" s="124"/>
      <c r="BM67" s="124"/>
      <c r="BN67" s="129"/>
      <c r="BO67" s="124"/>
      <c r="BP67" s="124"/>
      <c r="BQ67" s="124"/>
      <c r="BR67" s="129"/>
      <c r="BS67" s="129"/>
      <c r="BT67" s="129"/>
      <c r="BU67" s="124"/>
      <c r="BV67" s="126"/>
      <c r="BW67" s="124"/>
      <c r="BX67" s="124"/>
      <c r="BY67" s="124"/>
      <c r="BZ67" s="124"/>
      <c r="CA67" s="124"/>
      <c r="CB67" s="129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</row>
    <row r="68" spans="1:113" ht="12.75" x14ac:dyDescent="0.2">
      <c r="A68" s="128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4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4"/>
      <c r="BF68" s="124"/>
      <c r="BG68" s="124"/>
      <c r="BH68" s="124"/>
      <c r="BI68" s="129"/>
      <c r="BJ68" s="124"/>
      <c r="BK68" s="124"/>
      <c r="BL68" s="124"/>
      <c r="BM68" s="124"/>
      <c r="BN68" s="129"/>
      <c r="BO68" s="124"/>
      <c r="BP68" s="124"/>
      <c r="BQ68" s="124"/>
      <c r="BR68" s="129"/>
      <c r="BS68" s="129"/>
      <c r="BT68" s="129"/>
      <c r="BU68" s="124"/>
      <c r="BV68" s="126"/>
      <c r="BW68" s="124"/>
      <c r="BX68" s="124"/>
      <c r="BY68" s="124"/>
      <c r="BZ68" s="124"/>
      <c r="CA68" s="124"/>
      <c r="CB68" s="129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</row>
    <row r="69" spans="1:113" ht="12.75" x14ac:dyDescent="0.2">
      <c r="A69" s="128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4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4"/>
      <c r="BF69" s="124"/>
      <c r="BG69" s="124"/>
      <c r="BH69" s="124"/>
      <c r="BI69" s="129"/>
      <c r="BJ69" s="124"/>
      <c r="BK69" s="124"/>
      <c r="BL69" s="124"/>
      <c r="BM69" s="124"/>
      <c r="BN69" s="129"/>
      <c r="BO69" s="124"/>
      <c r="BP69" s="124"/>
      <c r="BQ69" s="124"/>
      <c r="BR69" s="129"/>
      <c r="BS69" s="129"/>
      <c r="BT69" s="129"/>
      <c r="BU69" s="124"/>
      <c r="BV69" s="124"/>
      <c r="BW69" s="124"/>
      <c r="BX69" s="124"/>
      <c r="BY69" s="124"/>
      <c r="BZ69" s="124"/>
      <c r="CA69" s="124"/>
      <c r="CB69" s="129"/>
      <c r="CC69" s="129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</row>
    <row r="70" spans="1:113" ht="12.75" x14ac:dyDescent="0.2">
      <c r="A70" s="128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4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4"/>
      <c r="BF70" s="124"/>
      <c r="BG70" s="124"/>
      <c r="BH70" s="124"/>
      <c r="BI70" s="129"/>
      <c r="BJ70" s="124"/>
      <c r="BK70" s="124"/>
      <c r="BL70" s="124"/>
      <c r="BM70" s="124"/>
      <c r="BN70" s="129"/>
      <c r="BO70" s="124"/>
      <c r="BP70" s="124"/>
      <c r="BQ70" s="124"/>
      <c r="BR70" s="129"/>
      <c r="BS70" s="129"/>
      <c r="BT70" s="129"/>
      <c r="BU70" s="124"/>
      <c r="BV70" s="126"/>
      <c r="BW70" s="124"/>
      <c r="BX70" s="124"/>
      <c r="BY70" s="124"/>
      <c r="BZ70" s="124"/>
      <c r="CA70" s="124"/>
      <c r="CB70" s="129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</row>
    <row r="71" spans="1:113" ht="12.75" x14ac:dyDescent="0.2">
      <c r="A71" s="128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4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4"/>
      <c r="BF71" s="124"/>
      <c r="BG71" s="124"/>
      <c r="BH71" s="124"/>
      <c r="BI71" s="129"/>
      <c r="BJ71" s="124"/>
      <c r="BK71" s="124"/>
      <c r="BL71" s="124"/>
      <c r="BM71" s="124"/>
      <c r="BN71" s="129"/>
      <c r="BO71" s="124"/>
      <c r="BP71" s="124"/>
      <c r="BQ71" s="124"/>
      <c r="BR71" s="129"/>
      <c r="BS71" s="129"/>
      <c r="BT71" s="129"/>
      <c r="BU71" s="124"/>
      <c r="BV71" s="124"/>
      <c r="BW71" s="124"/>
      <c r="BX71" s="124"/>
      <c r="BY71" s="124"/>
      <c r="BZ71" s="124"/>
      <c r="CA71" s="124"/>
      <c r="CB71" s="129"/>
      <c r="CC71" s="129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</row>
    <row r="72" spans="1:113" ht="12.75" x14ac:dyDescent="0.2">
      <c r="A72" s="128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4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4"/>
      <c r="BF72" s="124"/>
      <c r="BG72" s="124"/>
      <c r="BH72" s="124"/>
      <c r="BI72" s="129"/>
      <c r="BJ72" s="124"/>
      <c r="BK72" s="124"/>
      <c r="BL72" s="124"/>
      <c r="BM72" s="124"/>
      <c r="BN72" s="129"/>
      <c r="BO72" s="124"/>
      <c r="BP72" s="124"/>
      <c r="BQ72" s="124"/>
      <c r="BR72" s="129"/>
      <c r="BS72" s="129"/>
      <c r="BT72" s="129"/>
      <c r="BU72" s="124"/>
      <c r="BV72" s="126"/>
      <c r="BW72" s="124"/>
      <c r="BX72" s="124"/>
      <c r="BY72" s="124"/>
      <c r="BZ72" s="124"/>
      <c r="CA72" s="124"/>
      <c r="CB72" s="129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</row>
    <row r="73" spans="1:113" ht="12.75" x14ac:dyDescent="0.2">
      <c r="A73" s="128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4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4"/>
      <c r="BI73" s="129"/>
      <c r="BJ73" s="124"/>
      <c r="BK73" s="124"/>
      <c r="BL73" s="124"/>
      <c r="BM73" s="124"/>
      <c r="BN73" s="129"/>
      <c r="BO73" s="124"/>
      <c r="BP73" s="124"/>
      <c r="BQ73" s="124"/>
      <c r="BR73" s="129"/>
      <c r="BS73" s="129"/>
      <c r="BT73" s="129"/>
      <c r="BU73" s="124"/>
      <c r="BV73" s="126"/>
      <c r="BW73" s="124"/>
      <c r="BX73" s="124"/>
      <c r="BY73" s="124"/>
      <c r="BZ73" s="124"/>
      <c r="CA73" s="124"/>
      <c r="CB73" s="129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</row>
    <row r="74" spans="1:113" ht="12.75" x14ac:dyDescent="0.2">
      <c r="A74" s="128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4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4"/>
      <c r="BF74" s="124"/>
      <c r="BG74" s="124"/>
      <c r="BH74" s="124"/>
      <c r="BI74" s="129"/>
      <c r="BJ74" s="124"/>
      <c r="BK74" s="124"/>
      <c r="BL74" s="124"/>
      <c r="BM74" s="124"/>
      <c r="BN74" s="129"/>
      <c r="BO74" s="124"/>
      <c r="BP74" s="124"/>
      <c r="BQ74" s="124"/>
      <c r="BR74" s="129"/>
      <c r="BS74" s="129"/>
      <c r="BT74" s="129"/>
      <c r="BU74" s="124"/>
      <c r="BV74" s="124"/>
      <c r="BW74" s="124"/>
      <c r="BX74" s="124"/>
      <c r="BY74" s="124"/>
      <c r="BZ74" s="124"/>
      <c r="CA74" s="124"/>
      <c r="CB74" s="129"/>
      <c r="CC74" s="129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</row>
    <row r="75" spans="1:113" ht="12.75" x14ac:dyDescent="0.2">
      <c r="A75" s="128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4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4"/>
      <c r="BF75" s="124"/>
      <c r="BG75" s="124"/>
      <c r="BH75" s="124"/>
      <c r="BI75" s="129"/>
      <c r="BJ75" s="124"/>
      <c r="BK75" s="124"/>
      <c r="BL75" s="124"/>
      <c r="BM75" s="124"/>
      <c r="BN75" s="129"/>
      <c r="BO75" s="124"/>
      <c r="BP75" s="124"/>
      <c r="BQ75" s="124"/>
      <c r="BR75" s="129"/>
      <c r="BS75" s="129"/>
      <c r="BT75" s="129"/>
      <c r="BU75" s="124"/>
      <c r="BV75" s="126"/>
      <c r="BW75" s="124"/>
      <c r="BX75" s="124"/>
      <c r="BY75" s="124"/>
      <c r="BZ75" s="124"/>
      <c r="CA75" s="124"/>
      <c r="CB75" s="129"/>
      <c r="CC75" s="124"/>
      <c r="CD75" s="124"/>
      <c r="CE75" s="124"/>
      <c r="CF75" s="124"/>
      <c r="CG75" s="124"/>
      <c r="CH75" s="124"/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</row>
    <row r="76" spans="1:113" ht="12.75" x14ac:dyDescent="0.2">
      <c r="A76" s="128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4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4"/>
      <c r="BI76" s="129"/>
      <c r="BJ76" s="124"/>
      <c r="BK76" s="124"/>
      <c r="BL76" s="124"/>
      <c r="BM76" s="124"/>
      <c r="BN76" s="124"/>
      <c r="BO76" s="124"/>
      <c r="BP76" s="124"/>
      <c r="BQ76" s="124"/>
      <c r="BR76" s="129"/>
      <c r="BS76" s="129"/>
      <c r="BT76" s="129"/>
      <c r="BU76" s="124"/>
      <c r="BV76" s="124"/>
      <c r="BW76" s="124"/>
      <c r="BX76" s="124"/>
      <c r="BY76" s="124"/>
      <c r="BZ76" s="124"/>
      <c r="CA76" s="124"/>
      <c r="CB76" s="129"/>
      <c r="CC76" s="129"/>
      <c r="CD76" s="124"/>
      <c r="CE76" s="124"/>
      <c r="CF76" s="124"/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</row>
    <row r="77" spans="1:113" ht="12.75" x14ac:dyDescent="0.2">
      <c r="A77" s="128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4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4"/>
      <c r="BH77" s="124"/>
      <c r="BI77" s="129"/>
      <c r="BJ77" s="124"/>
      <c r="BK77" s="124"/>
      <c r="BL77" s="124"/>
      <c r="BM77" s="124"/>
      <c r="BN77" s="124"/>
      <c r="BO77" s="124"/>
      <c r="BP77" s="124"/>
      <c r="BQ77" s="124"/>
      <c r="BR77" s="129"/>
      <c r="BS77" s="129"/>
      <c r="BT77" s="129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4"/>
      <c r="CO77" s="124"/>
      <c r="CP77" s="124"/>
      <c r="CQ77" s="124"/>
      <c r="CR77" s="124"/>
      <c r="CS77" s="124"/>
      <c r="CT77" s="124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</row>
    <row r="78" spans="1:113" ht="12.75" x14ac:dyDescent="0.2">
      <c r="A78" s="128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4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4"/>
      <c r="BI78" s="129"/>
      <c r="BJ78" s="124"/>
      <c r="BK78" s="124"/>
      <c r="BL78" s="124"/>
      <c r="BM78" s="124"/>
      <c r="BN78" s="124"/>
      <c r="BO78" s="124"/>
      <c r="BP78" s="124"/>
      <c r="BQ78" s="124"/>
      <c r="BR78" s="129"/>
      <c r="BS78" s="129"/>
      <c r="BT78" s="129"/>
      <c r="BU78" s="124"/>
      <c r="BV78" s="124"/>
      <c r="BW78" s="124"/>
      <c r="BX78" s="124"/>
      <c r="BY78" s="124"/>
      <c r="BZ78" s="124"/>
      <c r="CA78" s="124"/>
      <c r="CB78" s="129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</row>
    <row r="79" spans="1:113" ht="12.75" x14ac:dyDescent="0.2">
      <c r="A79" s="128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4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4"/>
      <c r="BI79" s="129"/>
      <c r="BJ79" s="124"/>
      <c r="BK79" s="124"/>
      <c r="BL79" s="124"/>
      <c r="BM79" s="124"/>
      <c r="BN79" s="124"/>
      <c r="BO79" s="124"/>
      <c r="BP79" s="124"/>
      <c r="BQ79" s="124"/>
      <c r="BR79" s="129"/>
      <c r="BS79" s="129"/>
      <c r="BT79" s="129"/>
      <c r="BU79" s="124"/>
      <c r="BV79" s="126"/>
      <c r="BW79" s="124"/>
      <c r="BX79" s="124"/>
      <c r="BY79" s="124"/>
      <c r="BZ79" s="124"/>
      <c r="CA79" s="124"/>
      <c r="CB79" s="129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</row>
    <row r="80" spans="1:113" ht="12.75" x14ac:dyDescent="0.2">
      <c r="A80" s="128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4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4"/>
      <c r="BF80" s="124"/>
      <c r="BG80" s="129"/>
      <c r="BH80" s="124"/>
      <c r="BI80" s="129"/>
      <c r="BJ80" s="124"/>
      <c r="BK80" s="124"/>
      <c r="BL80" s="124"/>
      <c r="BM80" s="124"/>
      <c r="BN80" s="124"/>
      <c r="BO80" s="124"/>
      <c r="BP80" s="124"/>
      <c r="BQ80" s="124"/>
      <c r="BR80" s="129"/>
      <c r="BS80" s="129"/>
      <c r="BT80" s="129"/>
      <c r="BU80" s="124"/>
      <c r="BV80" s="126"/>
      <c r="BW80" s="124"/>
      <c r="BX80" s="124"/>
      <c r="BY80" s="124"/>
      <c r="BZ80" s="124"/>
      <c r="CA80" s="124"/>
      <c r="CB80" s="129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</row>
    <row r="81" spans="1:113" ht="12.75" x14ac:dyDescent="0.2">
      <c r="A81" s="128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4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4"/>
      <c r="BI81" s="129"/>
      <c r="BJ81" s="124"/>
      <c r="BK81" s="124"/>
      <c r="BL81" s="124"/>
      <c r="BM81" s="124"/>
      <c r="BN81" s="124"/>
      <c r="BO81" s="124"/>
      <c r="BP81" s="124"/>
      <c r="BQ81" s="124"/>
      <c r="BR81" s="129"/>
      <c r="BS81" s="129"/>
      <c r="BT81" s="129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</row>
    <row r="82" spans="1:113" ht="12.75" x14ac:dyDescent="0.2">
      <c r="A82" s="128"/>
      <c r="B82" s="124"/>
      <c r="C82" s="124"/>
      <c r="D82" s="124"/>
      <c r="E82" s="124"/>
      <c r="F82" s="124"/>
      <c r="G82" s="124"/>
      <c r="H82" s="126"/>
      <c r="I82" s="124"/>
      <c r="J82" s="124"/>
      <c r="K82" s="124"/>
      <c r="L82" s="124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4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4"/>
      <c r="BF82" s="124"/>
      <c r="BG82" s="124"/>
      <c r="BH82" s="124"/>
      <c r="BI82" s="129"/>
      <c r="BJ82" s="124"/>
      <c r="BK82" s="124"/>
      <c r="BL82" s="124"/>
      <c r="BM82" s="124"/>
      <c r="BN82" s="124"/>
      <c r="BO82" s="124"/>
      <c r="BP82" s="124"/>
      <c r="BQ82" s="124"/>
      <c r="BR82" s="129"/>
      <c r="BS82" s="129"/>
      <c r="BT82" s="129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</row>
    <row r="83" spans="1:113" ht="12.75" x14ac:dyDescent="0.2">
      <c r="A83" s="128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4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4"/>
      <c r="BG83" s="129"/>
      <c r="BH83" s="124"/>
      <c r="BI83" s="129"/>
      <c r="BJ83" s="124"/>
      <c r="BK83" s="124"/>
      <c r="BL83" s="124"/>
      <c r="BM83" s="124"/>
      <c r="BN83" s="124"/>
      <c r="BO83" s="124"/>
      <c r="BP83" s="124"/>
      <c r="BQ83" s="124"/>
      <c r="BR83" s="129"/>
      <c r="BS83" s="129"/>
      <c r="BT83" s="129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</row>
    <row r="84" spans="1:113" ht="12.75" x14ac:dyDescent="0.2">
      <c r="A84" s="128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4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4"/>
      <c r="BI84" s="129"/>
      <c r="BJ84" s="124"/>
      <c r="BK84" s="124"/>
      <c r="BL84" s="124"/>
      <c r="BM84" s="124"/>
      <c r="BN84" s="124"/>
      <c r="BO84" s="124"/>
      <c r="BP84" s="124"/>
      <c r="BQ84" s="124"/>
      <c r="BR84" s="129"/>
      <c r="BS84" s="129"/>
      <c r="BT84" s="129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4"/>
      <c r="CS84" s="124"/>
      <c r="CT84" s="124"/>
      <c r="CU84" s="124"/>
      <c r="CV84" s="124"/>
      <c r="CW84" s="124"/>
      <c r="CX84" s="124"/>
      <c r="CY84" s="124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</row>
    <row r="85" spans="1:113" ht="12.75" x14ac:dyDescent="0.2">
      <c r="A85" s="128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4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4"/>
      <c r="BI85" s="129"/>
      <c r="BJ85" s="124"/>
      <c r="BK85" s="124"/>
      <c r="BL85" s="124"/>
      <c r="BM85" s="124"/>
      <c r="BN85" s="129"/>
      <c r="BO85" s="124"/>
      <c r="BP85" s="124"/>
      <c r="BQ85" s="124"/>
      <c r="BR85" s="129"/>
      <c r="BS85" s="129"/>
      <c r="BT85" s="129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  <c r="CJ85" s="124"/>
      <c r="CK85" s="124"/>
      <c r="CL85" s="124"/>
      <c r="CM85" s="124"/>
      <c r="CN85" s="124"/>
      <c r="CO85" s="124"/>
      <c r="CP85" s="124"/>
      <c r="CQ85" s="124"/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</row>
    <row r="86" spans="1:113" ht="12.75" x14ac:dyDescent="0.2">
      <c r="A86" s="128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4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4"/>
      <c r="BG86" s="129"/>
      <c r="BH86" s="124"/>
      <c r="BI86" s="129"/>
      <c r="BJ86" s="124"/>
      <c r="BK86" s="124"/>
      <c r="BL86" s="124"/>
      <c r="BM86" s="124"/>
      <c r="BN86" s="124"/>
      <c r="BO86" s="124"/>
      <c r="BP86" s="124"/>
      <c r="BQ86" s="124"/>
      <c r="BR86" s="129"/>
      <c r="BS86" s="129"/>
      <c r="BT86" s="129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  <c r="CJ86" s="124"/>
      <c r="CK86" s="124"/>
      <c r="CL86" s="124"/>
      <c r="CM86" s="124"/>
      <c r="CN86" s="124"/>
      <c r="CO86" s="124"/>
      <c r="CP86" s="124"/>
      <c r="CQ86" s="124"/>
      <c r="CR86" s="124"/>
      <c r="CS86" s="124"/>
      <c r="CT86" s="124"/>
      <c r="CU86" s="124"/>
      <c r="CV86" s="124"/>
      <c r="CW86" s="124"/>
      <c r="CX86" s="124"/>
      <c r="CY86" s="124"/>
      <c r="CZ86" s="124"/>
      <c r="DA86" s="124"/>
      <c r="DB86" s="124"/>
      <c r="DC86" s="124"/>
      <c r="DD86" s="124"/>
      <c r="DE86" s="124"/>
      <c r="DF86" s="124"/>
      <c r="DG86" s="124"/>
      <c r="DH86" s="124"/>
      <c r="DI86" s="124"/>
    </row>
    <row r="87" spans="1:113" ht="12.75" x14ac:dyDescent="0.2">
      <c r="A87" s="128"/>
      <c r="B87" s="124"/>
      <c r="C87" s="124"/>
      <c r="D87" s="124"/>
      <c r="E87" s="124"/>
      <c r="F87" s="124"/>
      <c r="G87" s="124"/>
      <c r="H87" s="126"/>
      <c r="I87" s="124"/>
      <c r="J87" s="124"/>
      <c r="K87" s="124"/>
      <c r="L87" s="124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4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4"/>
      <c r="BF87" s="124"/>
      <c r="BG87" s="124"/>
      <c r="BH87" s="124"/>
      <c r="BI87" s="129"/>
      <c r="BJ87" s="124"/>
      <c r="BK87" s="124"/>
      <c r="BL87" s="124"/>
      <c r="BM87" s="124"/>
      <c r="BN87" s="124"/>
      <c r="BO87" s="124"/>
      <c r="BP87" s="124"/>
      <c r="BQ87" s="124"/>
      <c r="BR87" s="129"/>
      <c r="BS87" s="129"/>
      <c r="BT87" s="129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  <c r="CJ87" s="124"/>
      <c r="CK87" s="124"/>
      <c r="CL87" s="124"/>
      <c r="CM87" s="124"/>
      <c r="CN87" s="124"/>
      <c r="CO87" s="124"/>
      <c r="CP87" s="124"/>
      <c r="CQ87" s="124"/>
      <c r="CR87" s="124"/>
      <c r="CS87" s="124"/>
      <c r="CT87" s="124"/>
      <c r="CU87" s="124"/>
      <c r="CV87" s="124"/>
      <c r="CW87" s="124"/>
      <c r="CX87" s="124"/>
      <c r="CY87" s="124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</row>
    <row r="88" spans="1:113" ht="12.75" x14ac:dyDescent="0.2">
      <c r="A88" s="128"/>
      <c r="B88" s="124"/>
      <c r="C88" s="124"/>
      <c r="D88" s="124"/>
      <c r="E88" s="124"/>
      <c r="F88" s="124"/>
      <c r="G88" s="124"/>
      <c r="H88" s="126"/>
      <c r="I88" s="124"/>
      <c r="J88" s="124"/>
      <c r="K88" s="124"/>
      <c r="L88" s="124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4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4"/>
      <c r="BF88" s="124"/>
      <c r="BG88" s="124"/>
      <c r="BH88" s="124"/>
      <c r="BI88" s="129"/>
      <c r="BJ88" s="124"/>
      <c r="BK88" s="124"/>
      <c r="BL88" s="124"/>
      <c r="BM88" s="124"/>
      <c r="BN88" s="124"/>
      <c r="BO88" s="124"/>
      <c r="BP88" s="124"/>
      <c r="BQ88" s="124"/>
      <c r="BR88" s="129"/>
      <c r="BS88" s="129"/>
      <c r="BT88" s="129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  <c r="CJ88" s="124"/>
      <c r="CK88" s="124"/>
      <c r="CL88" s="124"/>
      <c r="CM88" s="124"/>
      <c r="CN88" s="124"/>
      <c r="CO88" s="124"/>
      <c r="CP88" s="124"/>
      <c r="CQ88" s="124"/>
      <c r="CR88" s="124"/>
      <c r="CS88" s="124"/>
      <c r="CT88" s="124"/>
      <c r="CU88" s="124"/>
      <c r="CV88" s="124"/>
      <c r="CW88" s="124"/>
      <c r="CX88" s="124"/>
      <c r="CY88" s="124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</row>
    <row r="89" spans="1:113" ht="12.75" x14ac:dyDescent="0.2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  <c r="CJ89" s="124"/>
      <c r="CK89" s="124"/>
      <c r="CL89" s="124"/>
      <c r="CM89" s="124"/>
      <c r="CN89" s="124"/>
      <c r="CO89" s="124"/>
      <c r="CP89" s="124"/>
      <c r="CQ89" s="124"/>
      <c r="CR89" s="124"/>
      <c r="CS89" s="124"/>
      <c r="CT89" s="124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</row>
    <row r="90" spans="1:113" ht="12.75" x14ac:dyDescent="0.2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  <c r="CJ90" s="124"/>
      <c r="CK90" s="124"/>
      <c r="CL90" s="124"/>
      <c r="CM90" s="124"/>
      <c r="CN90" s="124"/>
      <c r="CO90" s="124"/>
      <c r="CP90" s="124"/>
      <c r="CQ90" s="124"/>
      <c r="CR90" s="124"/>
      <c r="CS90" s="124"/>
      <c r="CT90" s="124"/>
      <c r="CU90" s="124"/>
      <c r="CV90" s="124"/>
      <c r="CW90" s="124"/>
      <c r="CX90" s="124"/>
      <c r="CY90" s="124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</row>
    <row r="91" spans="1:113" ht="12.75" x14ac:dyDescent="0.2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</row>
    <row r="92" spans="1:113" ht="12.75" x14ac:dyDescent="0.2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</row>
    <row r="93" spans="1:113" ht="12.75" x14ac:dyDescent="0.2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24"/>
      <c r="CP93" s="124"/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4"/>
      <c r="DC93" s="124"/>
      <c r="DD93" s="124"/>
      <c r="DE93" s="124"/>
      <c r="DF93" s="124"/>
      <c r="DG93" s="124"/>
      <c r="DH93" s="124"/>
      <c r="DI93" s="124"/>
    </row>
    <row r="94" spans="1:113" ht="12.75" x14ac:dyDescent="0.2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</row>
    <row r="95" spans="1:113" ht="12.75" x14ac:dyDescent="0.2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4"/>
      <c r="DF95" s="124"/>
      <c r="DG95" s="124"/>
      <c r="DH95" s="124"/>
      <c r="DI95" s="124"/>
    </row>
    <row r="96" spans="1:113" ht="12.75" x14ac:dyDescent="0.2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</row>
    <row r="97" spans="1:113" ht="12.75" x14ac:dyDescent="0.2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</row>
    <row r="98" spans="1:113" ht="12.75" x14ac:dyDescent="0.2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  <c r="CJ98" s="124"/>
      <c r="CK98" s="124"/>
      <c r="CL98" s="124"/>
      <c r="CM98" s="124"/>
      <c r="CN98" s="124"/>
      <c r="CO98" s="124"/>
      <c r="CP98" s="124"/>
      <c r="CQ98" s="124"/>
      <c r="CR98" s="124"/>
      <c r="CS98" s="124"/>
      <c r="CT98" s="124"/>
      <c r="CU98" s="124"/>
      <c r="CV98" s="124"/>
      <c r="CW98" s="124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24"/>
    </row>
    <row r="99" spans="1:113" ht="12.75" x14ac:dyDescent="0.2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  <c r="CJ99" s="124"/>
      <c r="CK99" s="124"/>
      <c r="CL99" s="124"/>
      <c r="CM99" s="124"/>
      <c r="CN99" s="124"/>
      <c r="CO99" s="124"/>
      <c r="CP99" s="124"/>
      <c r="CQ99" s="124"/>
      <c r="CR99" s="124"/>
      <c r="CS99" s="124"/>
      <c r="CT99" s="124"/>
      <c r="CU99" s="124"/>
      <c r="CV99" s="124"/>
      <c r="CW99" s="124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24"/>
    </row>
    <row r="100" spans="1:113" ht="12.75" x14ac:dyDescent="0.2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  <c r="CJ100" s="124"/>
      <c r="CK100" s="124"/>
      <c r="CL100" s="124"/>
      <c r="CM100" s="124"/>
      <c r="CN100" s="124"/>
      <c r="CO100" s="124"/>
      <c r="CP100" s="124"/>
      <c r="CQ100" s="124"/>
      <c r="CR100" s="124"/>
      <c r="CS100" s="124"/>
      <c r="CT100" s="124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24"/>
    </row>
    <row r="101" spans="1:113" ht="12.75" x14ac:dyDescent="0.2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</row>
    <row r="102" spans="1:113" ht="12.75" x14ac:dyDescent="0.2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  <c r="CJ102" s="124"/>
      <c r="CK102" s="124"/>
      <c r="CL102" s="124"/>
      <c r="CM102" s="124"/>
      <c r="CN102" s="124"/>
      <c r="CO102" s="124"/>
      <c r="CP102" s="124"/>
      <c r="CQ102" s="124"/>
      <c r="CR102" s="124"/>
      <c r="CS102" s="124"/>
      <c r="CT102" s="124"/>
      <c r="CU102" s="124"/>
      <c r="CV102" s="124"/>
      <c r="CW102" s="124"/>
      <c r="CX102" s="124"/>
      <c r="CY102" s="124"/>
      <c r="CZ102" s="124"/>
      <c r="DA102" s="124"/>
      <c r="DB102" s="124"/>
      <c r="DC102" s="124"/>
      <c r="DD102" s="124"/>
      <c r="DE102" s="124"/>
      <c r="DF102" s="124"/>
      <c r="DG102" s="124"/>
      <c r="DH102" s="124"/>
      <c r="DI102" s="124"/>
    </row>
    <row r="103" spans="1:113" ht="12.75" x14ac:dyDescent="0.2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  <c r="CJ103" s="124"/>
      <c r="CK103" s="124"/>
      <c r="CL103" s="124"/>
      <c r="CM103" s="124"/>
      <c r="CN103" s="124"/>
      <c r="CO103" s="124"/>
      <c r="CP103" s="124"/>
      <c r="CQ103" s="124"/>
      <c r="CR103" s="124"/>
      <c r="CS103" s="124"/>
      <c r="CT103" s="124"/>
      <c r="CU103" s="124"/>
      <c r="CV103" s="124"/>
      <c r="CW103" s="124"/>
      <c r="CX103" s="124"/>
      <c r="CY103" s="124"/>
      <c r="CZ103" s="124"/>
      <c r="DA103" s="124"/>
      <c r="DB103" s="124"/>
      <c r="DC103" s="124"/>
      <c r="DD103" s="124"/>
      <c r="DE103" s="124"/>
      <c r="DF103" s="124"/>
      <c r="DG103" s="124"/>
      <c r="DH103" s="124"/>
      <c r="DI103" s="124"/>
    </row>
    <row r="104" spans="1:113" ht="12.75" x14ac:dyDescent="0.2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</row>
    <row r="105" spans="1:113" ht="12.75" x14ac:dyDescent="0.2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</row>
    <row r="106" spans="1:113" ht="12.75" x14ac:dyDescent="0.2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  <c r="CJ106" s="124"/>
      <c r="CK106" s="124"/>
      <c r="CL106" s="124"/>
      <c r="CM106" s="124"/>
      <c r="CN106" s="124"/>
      <c r="CO106" s="124"/>
      <c r="CP106" s="124"/>
      <c r="CQ106" s="124"/>
      <c r="CR106" s="124"/>
      <c r="CS106" s="124"/>
      <c r="CT106" s="124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124"/>
      <c r="DG106" s="124"/>
      <c r="DH106" s="124"/>
      <c r="DI106" s="124"/>
    </row>
    <row r="107" spans="1:113" ht="12.75" x14ac:dyDescent="0.2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</row>
    <row r="108" spans="1:113" ht="12.75" x14ac:dyDescent="0.2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1:113" ht="12.75" x14ac:dyDescent="0.2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</row>
    <row r="110" spans="1:113" ht="12.75" x14ac:dyDescent="0.2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</row>
    <row r="111" spans="1:113" ht="12.75" x14ac:dyDescent="0.2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</row>
    <row r="112" spans="1:113" ht="12.75" x14ac:dyDescent="0.2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</row>
    <row r="113" spans="1:73" ht="12.75" x14ac:dyDescent="0.2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</row>
    <row r="114" spans="1:73" ht="12.75" x14ac:dyDescent="0.2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</row>
    <row r="115" spans="1:73" ht="12.75" x14ac:dyDescent="0.2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</row>
    <row r="116" spans="1:73" ht="12.75" x14ac:dyDescent="0.2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</row>
    <row r="117" spans="1:73" ht="12.75" x14ac:dyDescent="0.2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</row>
    <row r="118" spans="1:73" ht="12.75" x14ac:dyDescent="0.2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</row>
    <row r="119" spans="1:73" ht="12.75" x14ac:dyDescent="0.2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</row>
    <row r="120" spans="1:73" ht="12.75" x14ac:dyDescent="0.2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</row>
    <row r="121" spans="1:73" ht="12.75" x14ac:dyDescent="0.2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</row>
    <row r="122" spans="1:73" ht="12.75" x14ac:dyDescent="0.2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</row>
    <row r="123" spans="1:73" ht="12.75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</row>
    <row r="124" spans="1:73" ht="12.75" x14ac:dyDescent="0.2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</row>
    <row r="125" spans="1:73" ht="12.75" x14ac:dyDescent="0.2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</row>
    <row r="126" spans="1:73" ht="12.75" x14ac:dyDescent="0.2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</row>
    <row r="127" spans="1:73" ht="12.75" x14ac:dyDescent="0.2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</row>
    <row r="128" spans="1:73" ht="12.75" x14ac:dyDescent="0.2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</row>
    <row r="129" spans="1:73" ht="12.75" x14ac:dyDescent="0.2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</row>
    <row r="130" spans="1:73" ht="12.75" x14ac:dyDescent="0.2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</row>
    <row r="131" spans="1:73" ht="12.75" x14ac:dyDescent="0.2">
      <c r="A131" s="124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</row>
    <row r="132" spans="1:73" ht="12.75" x14ac:dyDescent="0.2">
      <c r="A132" s="124"/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</row>
    <row r="133" spans="1:73" ht="12.75" x14ac:dyDescent="0.2">
      <c r="A133" s="124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</row>
    <row r="134" spans="1:73" ht="12.75" x14ac:dyDescent="0.2">
      <c r="A134" s="124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</row>
    <row r="135" spans="1:73" ht="12.75" x14ac:dyDescent="0.2">
      <c r="A135" s="124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</row>
    <row r="136" spans="1:73" ht="12.75" x14ac:dyDescent="0.2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</row>
    <row r="137" spans="1:73" ht="12.75" x14ac:dyDescent="0.2">
      <c r="A137" s="124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</row>
    <row r="138" spans="1:73" ht="12.75" x14ac:dyDescent="0.2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</row>
    <row r="139" spans="1:73" ht="12.75" x14ac:dyDescent="0.2">
      <c r="A139" s="124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</row>
    <row r="140" spans="1:73" ht="12.75" x14ac:dyDescent="0.2">
      <c r="A140" s="124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</row>
    <row r="141" spans="1:73" ht="12.75" x14ac:dyDescent="0.2">
      <c r="A141" s="124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</row>
    <row r="142" spans="1:73" ht="12.75" x14ac:dyDescent="0.2">
      <c r="A142" s="124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</row>
    <row r="143" spans="1:73" ht="12.75" x14ac:dyDescent="0.2">
      <c r="A143" s="124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</row>
    <row r="144" spans="1:73" ht="12.75" x14ac:dyDescent="0.2">
      <c r="A144" s="124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</row>
    <row r="145" spans="1:73" ht="12.75" x14ac:dyDescent="0.2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</row>
    <row r="146" spans="1:73" ht="12.75" x14ac:dyDescent="0.2">
      <c r="A146" s="124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</row>
    <row r="147" spans="1:73" ht="12.75" x14ac:dyDescent="0.2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</row>
    <row r="148" spans="1:73" ht="12.75" x14ac:dyDescent="0.2">
      <c r="A148" s="124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</row>
    <row r="149" spans="1:73" ht="12.75" x14ac:dyDescent="0.2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</row>
    <row r="150" spans="1:73" ht="12.75" x14ac:dyDescent="0.2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</row>
    <row r="151" spans="1:73" ht="12.75" x14ac:dyDescent="0.2">
      <c r="A151" s="124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</row>
    <row r="152" spans="1:73" ht="12.75" x14ac:dyDescent="0.2">
      <c r="A152" s="124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</row>
    <row r="153" spans="1:73" ht="12.75" x14ac:dyDescent="0.2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</row>
    <row r="154" spans="1:73" ht="12.75" x14ac:dyDescent="0.2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</row>
    <row r="155" spans="1:73" ht="12.75" x14ac:dyDescent="0.2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</row>
    <row r="156" spans="1:73" ht="12.75" x14ac:dyDescent="0.2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</row>
    <row r="157" spans="1:73" ht="12.75" x14ac:dyDescent="0.2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</row>
    <row r="158" spans="1:73" ht="12.75" x14ac:dyDescent="0.2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</row>
    <row r="159" spans="1:73" ht="12.75" x14ac:dyDescent="0.2">
      <c r="A159" s="124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</row>
    <row r="160" spans="1:73" ht="12.75" x14ac:dyDescent="0.2">
      <c r="A160" s="124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</row>
    <row r="161" spans="1:73" ht="12.75" x14ac:dyDescent="0.2">
      <c r="A161" s="124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</row>
    <row r="162" spans="1:73" ht="12.75" x14ac:dyDescent="0.2">
      <c r="A162" s="124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</row>
    <row r="163" spans="1:73" ht="12.75" x14ac:dyDescent="0.2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</row>
    <row r="164" spans="1:73" ht="12.75" x14ac:dyDescent="0.2">
      <c r="A164" s="124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</row>
    <row r="165" spans="1:73" ht="12.75" x14ac:dyDescent="0.2">
      <c r="A165" s="124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</row>
    <row r="166" spans="1:73" ht="12.75" x14ac:dyDescent="0.2">
      <c r="A166" s="124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</row>
    <row r="167" spans="1:73" ht="12.75" x14ac:dyDescent="0.2">
      <c r="A167" s="124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</row>
    <row r="168" spans="1:73" ht="12.75" x14ac:dyDescent="0.2">
      <c r="A168" s="124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</row>
    <row r="169" spans="1:73" ht="12.75" x14ac:dyDescent="0.2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</row>
    <row r="170" spans="1:73" ht="12.75" x14ac:dyDescent="0.2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</row>
    <row r="171" spans="1:73" ht="12.75" x14ac:dyDescent="0.2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</row>
    <row r="172" spans="1:73" ht="12.75" x14ac:dyDescent="0.2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</row>
    <row r="173" spans="1:73" ht="12.75" x14ac:dyDescent="0.2">
      <c r="A173" s="124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</row>
    <row r="174" spans="1:73" ht="12.75" x14ac:dyDescent="0.2">
      <c r="A174" s="124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</row>
    <row r="175" spans="1:73" ht="12.75" x14ac:dyDescent="0.2">
      <c r="A175" s="124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</row>
    <row r="176" spans="1:73" ht="12.75" x14ac:dyDescent="0.2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</row>
    <row r="177" spans="1:73" ht="12.75" x14ac:dyDescent="0.2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</row>
    <row r="178" spans="1:73" ht="12.75" x14ac:dyDescent="0.2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</row>
    <row r="179" spans="1:73" ht="12.75" x14ac:dyDescent="0.2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</row>
    <row r="180" spans="1:73" ht="12.75" x14ac:dyDescent="0.2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</row>
    <row r="181" spans="1:73" ht="12.75" x14ac:dyDescent="0.2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</row>
    <row r="182" spans="1:73" ht="12.75" x14ac:dyDescent="0.2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</row>
    <row r="183" spans="1:73" ht="12.75" x14ac:dyDescent="0.2">
      <c r="A183" s="124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</row>
    <row r="184" spans="1:73" ht="12.75" x14ac:dyDescent="0.2">
      <c r="A184" s="124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</row>
    <row r="185" spans="1:73" ht="12.75" x14ac:dyDescent="0.2">
      <c r="A185" s="124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</row>
    <row r="186" spans="1:73" ht="12.75" x14ac:dyDescent="0.2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</row>
    <row r="187" spans="1:73" ht="12.75" x14ac:dyDescent="0.2">
      <c r="A187" s="124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</row>
    <row r="188" spans="1:73" ht="12.75" x14ac:dyDescent="0.2">
      <c r="A188" s="124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39"/>
  <sheetViews>
    <sheetView workbookViewId="0"/>
  </sheetViews>
  <sheetFormatPr defaultColWidth="14.42578125" defaultRowHeight="15.75" customHeight="1" x14ac:dyDescent="0.2"/>
  <cols>
    <col min="1" max="1" width="30.5703125" customWidth="1"/>
    <col min="3" max="3" width="13.42578125" customWidth="1"/>
    <col min="4" max="4" width="7.28515625" customWidth="1"/>
    <col min="5" max="5" width="25.5703125" customWidth="1"/>
  </cols>
  <sheetData>
    <row r="1" spans="1:26" ht="6.75" customHeight="1" x14ac:dyDescent="0.25">
      <c r="A1" s="5"/>
      <c r="B1" s="5"/>
      <c r="C1" s="5"/>
      <c r="D1" s="5"/>
      <c r="E1" s="5"/>
      <c r="F1" s="5"/>
      <c r="H1" s="4"/>
      <c r="I1" s="4"/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.75" customHeight="1" x14ac:dyDescent="0.3">
      <c r="A2" s="7"/>
      <c r="B2" s="7"/>
      <c r="C2" s="7"/>
      <c r="D2" s="9"/>
      <c r="E2" s="9"/>
      <c r="F2" s="9"/>
      <c r="G2" s="4"/>
      <c r="H2" s="4"/>
      <c r="I2" s="4"/>
      <c r="J2" s="4"/>
      <c r="K2" s="4"/>
      <c r="L2" s="4"/>
      <c r="M2" s="4"/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.75" x14ac:dyDescent="0.3">
      <c r="A3" s="97" t="s">
        <v>304</v>
      </c>
      <c r="B3" s="7"/>
      <c r="C3" s="7"/>
      <c r="D3" s="7"/>
      <c r="E3" s="7"/>
      <c r="F3" s="7"/>
      <c r="G3" s="7"/>
      <c r="H3" s="4"/>
      <c r="I3" s="4"/>
      <c r="J3" s="4"/>
      <c r="K3" s="4"/>
      <c r="L3" s="4"/>
      <c r="M3" s="4"/>
      <c r="N3" s="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40" t="s">
        <v>305</v>
      </c>
      <c r="B5" s="134"/>
      <c r="C5" s="134"/>
      <c r="D5" s="134"/>
      <c r="E5" s="134"/>
      <c r="F5" s="134"/>
      <c r="G5" s="65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x14ac:dyDescent="0.25">
      <c r="A6" s="13"/>
      <c r="B6" s="14" t="s">
        <v>4</v>
      </c>
      <c r="C6" s="15" t="s">
        <v>5</v>
      </c>
      <c r="D6" s="4"/>
      <c r="E6" s="5"/>
      <c r="F6" s="5"/>
      <c r="G6" s="5"/>
      <c r="I6" s="4"/>
      <c r="J6" s="4"/>
      <c r="K6" s="4"/>
      <c r="L6" s="4"/>
      <c r="M6" s="4"/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x14ac:dyDescent="0.25">
      <c r="A7" s="17" t="s">
        <v>18</v>
      </c>
      <c r="B7" s="19">
        <f>COUNTIF(Data!BI$2:BI$500,1)</f>
        <v>29</v>
      </c>
      <c r="C7" s="20">
        <f>B7/COUNT(Data!$A$2:$A$500)</f>
        <v>0.57999999999999996</v>
      </c>
      <c r="D7" s="4"/>
      <c r="E7" s="5"/>
      <c r="F7" s="5"/>
      <c r="G7" s="25"/>
      <c r="I7" s="4"/>
      <c r="J7" s="4"/>
      <c r="K7" s="4"/>
      <c r="L7" s="4"/>
      <c r="M7" s="4"/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x14ac:dyDescent="0.25">
      <c r="A8" s="17" t="s">
        <v>20</v>
      </c>
      <c r="B8" s="19">
        <f>COUNTIF(Data!BI$2:BI$500,2)</f>
        <v>1</v>
      </c>
      <c r="C8" s="20">
        <f>B8/COUNT(Data!$A$2:$A$500)</f>
        <v>0.02</v>
      </c>
      <c r="D8" s="4"/>
      <c r="E8" s="5"/>
      <c r="F8" s="5"/>
      <c r="G8" s="25"/>
      <c r="I8" s="4"/>
      <c r="J8" s="4"/>
      <c r="K8" s="4"/>
      <c r="L8" s="4"/>
      <c r="M8" s="4"/>
      <c r="N8" s="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x14ac:dyDescent="0.25">
      <c r="A9" s="17" t="s">
        <v>283</v>
      </c>
      <c r="B9" s="19">
        <f>COUNTIF(Data!BI$2:BI$500,9)</f>
        <v>20</v>
      </c>
      <c r="C9" s="20">
        <f>B9/COUNT(Data!$A$2:$A$500)</f>
        <v>0.4</v>
      </c>
      <c r="D9" s="4"/>
      <c r="G9" s="25"/>
      <c r="I9" s="4"/>
      <c r="J9" s="4"/>
      <c r="K9" s="4"/>
      <c r="L9" s="4"/>
      <c r="M9" s="4"/>
      <c r="N9" s="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x14ac:dyDescent="0.25">
      <c r="A10" s="4"/>
      <c r="B10" s="4"/>
      <c r="C10" s="4"/>
      <c r="D10" s="4"/>
      <c r="I10" s="4"/>
      <c r="J10" s="4"/>
      <c r="K10" s="4"/>
      <c r="L10" s="4"/>
      <c r="M10" s="4"/>
      <c r="N10" s="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x14ac:dyDescent="0.25">
      <c r="A11" s="5"/>
      <c r="B11" s="5"/>
      <c r="C11" s="5"/>
      <c r="D11" s="4"/>
      <c r="I11" s="4"/>
      <c r="J11" s="4"/>
      <c r="K11" s="4"/>
      <c r="L11" s="4"/>
      <c r="M11" s="4"/>
      <c r="N11" s="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140" t="s">
        <v>187</v>
      </c>
      <c r="B12" s="134"/>
      <c r="C12" s="134"/>
      <c r="D12" s="134"/>
      <c r="E12" s="134"/>
      <c r="F12" s="134"/>
      <c r="G12" s="65"/>
      <c r="I12" s="4"/>
      <c r="J12" s="4"/>
      <c r="K12" s="4"/>
      <c r="L12" s="4"/>
      <c r="M12" s="4"/>
      <c r="N12" s="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x14ac:dyDescent="0.25">
      <c r="A13" s="13"/>
      <c r="B13" s="37" t="s">
        <v>4</v>
      </c>
      <c r="C13" s="39" t="s">
        <v>5</v>
      </c>
      <c r="D13" s="4"/>
      <c r="E13" s="5"/>
      <c r="F13" s="5"/>
      <c r="G13" s="5"/>
      <c r="I13" s="4"/>
      <c r="J13" s="4"/>
      <c r="K13" s="4"/>
      <c r="L13" s="4"/>
      <c r="M13" s="4"/>
      <c r="N13" s="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98" t="s">
        <v>188</v>
      </c>
      <c r="B14" s="19">
        <f>COUNTIF(Data!BJ$2:BJ$500,"Кращі, ніж очікував (-ла)")</f>
        <v>38</v>
      </c>
      <c r="C14" s="99">
        <f>B14/COUNT(Data!$A$2:$A$500)</f>
        <v>0.76</v>
      </c>
      <c r="D14" s="4"/>
      <c r="E14" s="5"/>
      <c r="F14" s="5"/>
      <c r="G14" s="25"/>
      <c r="I14" s="4"/>
      <c r="J14" s="4"/>
      <c r="K14" s="4"/>
      <c r="L14" s="4"/>
      <c r="M14" s="4"/>
      <c r="N14" s="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98" t="s">
        <v>189</v>
      </c>
      <c r="B15" s="19">
        <f>COUNTIF(Data!BJ$2:BJ$500,"Гірші, ніж очікував (-ла)")</f>
        <v>0</v>
      </c>
      <c r="C15" s="99">
        <f>B15/COUNT(Data!$A$2:$A$500)</f>
        <v>0</v>
      </c>
      <c r="D15" s="4"/>
      <c r="E15" s="5"/>
      <c r="F15" s="5"/>
      <c r="G15" s="25"/>
      <c r="I15" s="4"/>
      <c r="J15" s="4"/>
      <c r="K15" s="4"/>
      <c r="L15" s="4"/>
      <c r="M15" s="4"/>
      <c r="N15" s="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98" t="s">
        <v>190</v>
      </c>
      <c r="B16" s="19">
        <f>COUNTIF(Data!BJ$2:BJ$500,"Відповідають очікуванням")</f>
        <v>11</v>
      </c>
      <c r="C16" s="99">
        <f>B16/COUNT(Data!$A$2:$A$500)</f>
        <v>0.22</v>
      </c>
      <c r="D16" s="4"/>
      <c r="G16" s="25"/>
      <c r="I16" s="4"/>
      <c r="J16" s="4"/>
      <c r="K16" s="4"/>
      <c r="L16" s="4"/>
      <c r="M16" s="4"/>
      <c r="N16" s="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98" t="s">
        <v>283</v>
      </c>
      <c r="B17" s="19">
        <f>COUNTIF(Data!BJ$2:BJ$500,"КН")</f>
        <v>1</v>
      </c>
      <c r="C17" s="99">
        <f>B17/COUNT(Data!$A$2:$A$500)</f>
        <v>0.02</v>
      </c>
      <c r="D17" s="4"/>
      <c r="G17" s="25"/>
      <c r="I17" s="4"/>
      <c r="J17" s="4"/>
      <c r="K17" s="4"/>
      <c r="L17" s="4"/>
      <c r="M17" s="4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x14ac:dyDescent="0.25">
      <c r="A18" s="5"/>
      <c r="B18" s="5"/>
      <c r="C18" s="25"/>
      <c r="D18" s="4"/>
      <c r="G18" s="25"/>
      <c r="H18" s="4"/>
      <c r="I18" s="4"/>
      <c r="J18" s="4"/>
      <c r="K18" s="4"/>
      <c r="L18" s="4"/>
      <c r="M18" s="4"/>
      <c r="N18" s="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x14ac:dyDescent="0.25">
      <c r="A19" s="4"/>
      <c r="B19" s="4"/>
      <c r="C19" s="4"/>
      <c r="D19" s="4"/>
      <c r="E19" s="5"/>
      <c r="F19" s="5"/>
      <c r="G19" s="25"/>
      <c r="H19" s="4"/>
      <c r="I19" s="4"/>
      <c r="J19" s="4"/>
      <c r="K19" s="4"/>
      <c r="L19" s="4"/>
      <c r="M19" s="4"/>
      <c r="N19" s="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140" t="s">
        <v>191</v>
      </c>
      <c r="B20" s="134"/>
      <c r="C20" s="134"/>
      <c r="D20" s="134"/>
      <c r="E20" s="134"/>
      <c r="F20" s="65"/>
      <c r="G20" s="5"/>
    </row>
    <row r="21" spans="1:26" ht="15" x14ac:dyDescent="0.25">
      <c r="A21" s="13"/>
      <c r="B21" s="37" t="s">
        <v>4</v>
      </c>
      <c r="C21" s="39" t="s">
        <v>5</v>
      </c>
      <c r="D21" s="4"/>
      <c r="E21" s="5"/>
      <c r="F21" s="5"/>
      <c r="G21" s="25"/>
    </row>
    <row r="22" spans="1:26" x14ac:dyDescent="0.25">
      <c r="A22" s="98" t="s">
        <v>192</v>
      </c>
      <c r="B22" s="19">
        <f>COUNTIF(Data!BK$2:BK$500,"Покращилась значно")</f>
        <v>17</v>
      </c>
      <c r="C22" s="99">
        <f>B22/COUNT(Data!$A$2:$A$500)</f>
        <v>0.34</v>
      </c>
      <c r="D22" s="4"/>
      <c r="E22" s="5"/>
      <c r="F22" s="5"/>
      <c r="G22" s="25"/>
    </row>
    <row r="23" spans="1:26" x14ac:dyDescent="0.25">
      <c r="A23" s="98" t="s">
        <v>193</v>
      </c>
      <c r="B23" s="19">
        <f>COUNTIF(Data!BK$2:BK$500,"Покращилась несуттєво")</f>
        <v>2</v>
      </c>
      <c r="C23" s="99">
        <f>B23/COUNT(Data!$A$2:$A$500)</f>
        <v>0.04</v>
      </c>
      <c r="D23" s="4"/>
      <c r="E23" s="5"/>
      <c r="F23" s="5"/>
      <c r="G23" s="25"/>
    </row>
    <row r="24" spans="1:26" x14ac:dyDescent="0.25">
      <c r="A24" s="98" t="s">
        <v>194</v>
      </c>
      <c r="B24" s="19">
        <f>COUNTIF(Data!BK$2:BK$500,"Залишилась без змін")</f>
        <v>1</v>
      </c>
      <c r="C24" s="99">
        <f>B24/COUNT(Data!$A$2:$A$500)</f>
        <v>0.02</v>
      </c>
      <c r="D24" s="4"/>
      <c r="G24" s="25"/>
    </row>
    <row r="25" spans="1:26" x14ac:dyDescent="0.25">
      <c r="A25" s="98" t="s">
        <v>195</v>
      </c>
      <c r="B25" s="19">
        <f>COUNTIF(Data!BK$2:BK$500,"Дещо погіршилася")</f>
        <v>1</v>
      </c>
      <c r="C25" s="99">
        <f>B25/COUNT(Data!$A$2:$A$500)</f>
        <v>0.02</v>
      </c>
      <c r="D25" s="4"/>
      <c r="G25" s="25"/>
    </row>
    <row r="26" spans="1:26" x14ac:dyDescent="0.25">
      <c r="A26" s="98" t="s">
        <v>196</v>
      </c>
      <c r="B26" s="19">
        <f>COUNTIF(Data!BK$2:BK$500,"Значно погіршилася")</f>
        <v>0</v>
      </c>
      <c r="C26" s="99">
        <f>B26/COUNT(Data!$A$2:$A$500)</f>
        <v>0</v>
      </c>
      <c r="D26" s="5"/>
      <c r="E26" s="5"/>
      <c r="F26" s="5"/>
      <c r="G26" s="25"/>
    </row>
    <row r="27" spans="1:26" x14ac:dyDescent="0.25">
      <c r="A27" s="98" t="s">
        <v>197</v>
      </c>
      <c r="B27" s="19">
        <f>COUNTIF(Data!BK$2:BK$500,"Важко сказати")</f>
        <v>7</v>
      </c>
      <c r="C27" s="99">
        <f>B27/COUNT(Data!$A$2:$A$500)</f>
        <v>0.14000000000000001</v>
      </c>
      <c r="G27" s="25"/>
    </row>
    <row r="28" spans="1:26" x14ac:dyDescent="0.25">
      <c r="A28" s="98" t="s">
        <v>283</v>
      </c>
      <c r="B28" s="19">
        <f>COUNTIF(Data!BK$2:BK$500,"КН")</f>
        <v>22</v>
      </c>
      <c r="C28" s="99">
        <f>B28/COUNT(Data!$A$2:$A$500)</f>
        <v>0.44</v>
      </c>
      <c r="D28" s="5"/>
      <c r="E28" s="5"/>
      <c r="F28" s="5"/>
      <c r="G28" s="5"/>
    </row>
    <row r="29" spans="1:26" ht="12.75" x14ac:dyDescent="0.2">
      <c r="A29" s="5"/>
      <c r="B29" s="5"/>
      <c r="C29" s="5"/>
      <c r="D29" s="5"/>
      <c r="E29" s="5"/>
      <c r="F29" s="5"/>
      <c r="G29" s="25"/>
    </row>
    <row r="30" spans="1:26" ht="12.75" x14ac:dyDescent="0.2">
      <c r="A30" s="5"/>
      <c r="B30" s="5"/>
      <c r="C30" s="5"/>
      <c r="D30" s="5"/>
      <c r="E30" s="5"/>
      <c r="F30" s="5"/>
      <c r="G30" s="25"/>
    </row>
    <row r="31" spans="1:26" x14ac:dyDescent="0.25">
      <c r="A31" s="140" t="s">
        <v>198</v>
      </c>
      <c r="B31" s="134"/>
      <c r="C31" s="134"/>
      <c r="D31" s="134"/>
      <c r="E31" s="134"/>
      <c r="F31" s="65"/>
      <c r="G31" s="25"/>
    </row>
    <row r="32" spans="1:26" ht="15" x14ac:dyDescent="0.25">
      <c r="A32" s="13"/>
      <c r="B32" s="14" t="s">
        <v>4</v>
      </c>
      <c r="C32" s="15" t="s">
        <v>5</v>
      </c>
      <c r="D32" s="4"/>
      <c r="E32" s="5"/>
      <c r="F32" s="5"/>
      <c r="G32" s="25"/>
    </row>
    <row r="33" spans="1:26" ht="15" x14ac:dyDescent="0.25">
      <c r="A33" s="17" t="s">
        <v>18</v>
      </c>
      <c r="B33" s="19">
        <f>COUNTIF(Data!BL$2:BL$500,"Так")</f>
        <v>32</v>
      </c>
      <c r="C33" s="20">
        <f>B33/COUNT(Data!$A$2:$A$500)</f>
        <v>0.64</v>
      </c>
      <c r="D33" s="4"/>
      <c r="E33" s="5"/>
      <c r="F33" s="5"/>
      <c r="G33" s="25"/>
    </row>
    <row r="34" spans="1:26" ht="15" x14ac:dyDescent="0.25">
      <c r="A34" s="17" t="s">
        <v>20</v>
      </c>
      <c r="B34" s="19">
        <f>COUNTIF(Data!BL$2:BL$500,"Ні")</f>
        <v>18</v>
      </c>
      <c r="C34" s="20">
        <f>B34/COUNT(Data!$A$2:$A$500)</f>
        <v>0.36</v>
      </c>
      <c r="D34" s="4"/>
      <c r="E34" s="5"/>
      <c r="F34" s="5"/>
      <c r="G34" s="5"/>
    </row>
    <row r="35" spans="1:26" ht="15" x14ac:dyDescent="0.25">
      <c r="A35" s="17" t="s">
        <v>283</v>
      </c>
      <c r="B35" s="19">
        <f>COUNTIF(Data!BL$2:BL$500,"КН")</f>
        <v>0</v>
      </c>
      <c r="C35" s="20">
        <f>B35/COUNT(Data!$A$2:$A$500)</f>
        <v>0</v>
      </c>
      <c r="D35" s="4"/>
      <c r="G35" s="25"/>
    </row>
    <row r="36" spans="1:26" ht="12.75" x14ac:dyDescent="0.2">
      <c r="A36" s="5"/>
      <c r="B36" s="5"/>
      <c r="C36" s="25"/>
      <c r="E36" s="5"/>
      <c r="F36" s="5"/>
      <c r="G36" s="25"/>
    </row>
    <row r="37" spans="1:26" ht="12.75" x14ac:dyDescent="0.2">
      <c r="B37" s="5"/>
      <c r="C37" s="25"/>
      <c r="E37" s="5"/>
      <c r="F37" s="5"/>
      <c r="G37" s="25"/>
    </row>
    <row r="38" spans="1:26" ht="13.5" x14ac:dyDescent="0.25">
      <c r="A38" s="140" t="s">
        <v>199</v>
      </c>
      <c r="B38" s="134"/>
      <c r="C38" s="134"/>
      <c r="D38" s="134"/>
      <c r="E38" s="134"/>
      <c r="F38" s="5"/>
      <c r="G38" s="25"/>
    </row>
    <row r="39" spans="1:26" ht="15" x14ac:dyDescent="0.25">
      <c r="A39" s="13"/>
      <c r="B39" s="14" t="s">
        <v>4</v>
      </c>
      <c r="C39" s="15" t="s">
        <v>5</v>
      </c>
      <c r="D39" s="4"/>
      <c r="E39" s="5"/>
      <c r="G39" s="25"/>
    </row>
    <row r="40" spans="1:26" ht="15" x14ac:dyDescent="0.25">
      <c r="A40" s="17" t="s">
        <v>18</v>
      </c>
      <c r="B40" s="19">
        <f>COUNTIF(Data!$BM$2:$BM$500,"Так")</f>
        <v>2</v>
      </c>
      <c r="C40" s="20">
        <f>B40/COUNT(Data!$A$2:$A$500)</f>
        <v>0.04</v>
      </c>
      <c r="D40" s="4"/>
      <c r="E40" s="5"/>
      <c r="G40" s="25"/>
    </row>
    <row r="41" spans="1:26" ht="15" x14ac:dyDescent="0.25">
      <c r="A41" s="17" t="s">
        <v>20</v>
      </c>
      <c r="B41" s="19">
        <f>COUNTIF(Data!$BM$2:$BM$500,"Ні")</f>
        <v>30</v>
      </c>
      <c r="C41" s="20">
        <f>B41/COUNT(Data!$A$2:$A$500)</f>
        <v>0.6</v>
      </c>
      <c r="D41" s="4"/>
      <c r="E41" s="5"/>
      <c r="F41" s="5"/>
      <c r="G41" s="5"/>
    </row>
    <row r="42" spans="1:26" ht="15" x14ac:dyDescent="0.25">
      <c r="A42" s="17" t="s">
        <v>283</v>
      </c>
      <c r="B42" s="19">
        <f>COUNTIF(Data!$BM$2:$BM$500,"КН")</f>
        <v>18</v>
      </c>
      <c r="C42" s="20">
        <f>B42/COUNT(Data!$A$2:$A$500)</f>
        <v>0.36</v>
      </c>
      <c r="D42" s="4"/>
      <c r="F42" s="5"/>
      <c r="G42" s="25"/>
    </row>
    <row r="43" spans="1:26" ht="12.75" x14ac:dyDescent="0.2">
      <c r="A43" s="5"/>
      <c r="B43" s="5"/>
      <c r="C43" s="5"/>
      <c r="D43" s="5"/>
      <c r="E43" s="5"/>
      <c r="F43" s="5"/>
      <c r="G43" s="25"/>
    </row>
    <row r="44" spans="1:26" ht="12.75" x14ac:dyDescent="0.2">
      <c r="A44" s="5"/>
      <c r="B44" s="5"/>
      <c r="C44" s="5"/>
      <c r="D44" s="5"/>
      <c r="E44" s="5"/>
      <c r="F44" s="5"/>
      <c r="G44" s="25"/>
    </row>
    <row r="45" spans="1:26" ht="15" x14ac:dyDescent="0.25">
      <c r="A45" s="4"/>
      <c r="B45" s="4"/>
      <c r="C45" s="4"/>
      <c r="D45" s="4"/>
      <c r="E45" s="5"/>
      <c r="F45" s="5"/>
      <c r="G45" s="25"/>
      <c r="H45" s="4"/>
      <c r="I45" s="4"/>
      <c r="J45" s="4"/>
      <c r="K45" s="4"/>
      <c r="L45" s="4"/>
      <c r="M45" s="4"/>
      <c r="N45" s="4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x14ac:dyDescent="0.25">
      <c r="A46" s="157" t="s">
        <v>306</v>
      </c>
      <c r="B46" s="136"/>
      <c r="C46" s="136"/>
      <c r="D46" s="136"/>
      <c r="E46" s="137"/>
      <c r="F46" s="37" t="s">
        <v>4</v>
      </c>
      <c r="G46" s="39" t="s">
        <v>5</v>
      </c>
      <c r="H46" s="4"/>
      <c r="I46" s="4"/>
      <c r="J46" s="4"/>
      <c r="K46" s="4"/>
      <c r="L46" s="4"/>
      <c r="M46" s="4"/>
      <c r="N46" s="4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x14ac:dyDescent="0.25">
      <c r="A47" s="172">
        <v>5</v>
      </c>
      <c r="B47" s="136"/>
      <c r="C47" s="136"/>
      <c r="D47" s="136"/>
      <c r="E47" s="137"/>
      <c r="F47" s="19">
        <f>COUNTIF(Data!BN$2:BN$500,5)</f>
        <v>1</v>
      </c>
      <c r="G47" s="20">
        <f>F47/COUNT(Data!$A$2:$A$500)</f>
        <v>0.02</v>
      </c>
      <c r="H47" s="5"/>
      <c r="I47" s="4"/>
      <c r="J47" s="4"/>
      <c r="K47" s="4"/>
      <c r="L47" s="4"/>
      <c r="M47" s="4"/>
      <c r="N47" s="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x14ac:dyDescent="0.25">
      <c r="A48" s="172">
        <v>4</v>
      </c>
      <c r="B48" s="136"/>
      <c r="C48" s="136"/>
      <c r="D48" s="136"/>
      <c r="E48" s="137"/>
      <c r="F48" s="19">
        <f>COUNTIF(Data!BN$2:BN$500,4)</f>
        <v>1</v>
      </c>
      <c r="G48" s="20">
        <f>F48/COUNT(Data!$A$2:$A$500)</f>
        <v>0.02</v>
      </c>
      <c r="H48" s="4"/>
      <c r="I48" s="4"/>
      <c r="J48" s="4"/>
      <c r="K48" s="4"/>
      <c r="L48" s="4"/>
      <c r="M48" s="4"/>
      <c r="N48" s="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x14ac:dyDescent="0.25">
      <c r="A49" s="172">
        <v>3</v>
      </c>
      <c r="B49" s="136"/>
      <c r="C49" s="136"/>
      <c r="D49" s="136"/>
      <c r="E49" s="137"/>
      <c r="F49" s="19">
        <f>COUNTIF(Data!BN$2:BN$500,3)</f>
        <v>0</v>
      </c>
      <c r="G49" s="20">
        <f>F49/COUNT(Data!$A$2:$A$500)</f>
        <v>0</v>
      </c>
      <c r="H49" s="4"/>
      <c r="I49" s="4"/>
      <c r="J49" s="4"/>
      <c r="K49" s="4"/>
      <c r="L49" s="4"/>
      <c r="M49" s="4"/>
      <c r="N49" s="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x14ac:dyDescent="0.25">
      <c r="A50" s="172">
        <v>2</v>
      </c>
      <c r="B50" s="136"/>
      <c r="C50" s="136"/>
      <c r="D50" s="136"/>
      <c r="E50" s="137"/>
      <c r="F50" s="19">
        <f>COUNTIF(Data!BN$2:BN$500,2)</f>
        <v>0</v>
      </c>
      <c r="G50" s="20">
        <f>F50/COUNT(Data!$A$2:$A$500)</f>
        <v>0</v>
      </c>
      <c r="H50" s="4"/>
      <c r="I50" s="4"/>
      <c r="J50" s="4"/>
      <c r="K50" s="4"/>
      <c r="L50" s="4"/>
      <c r="M50" s="4"/>
      <c r="N50" s="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x14ac:dyDescent="0.25">
      <c r="A51" s="172">
        <v>1</v>
      </c>
      <c r="B51" s="136"/>
      <c r="C51" s="136"/>
      <c r="D51" s="136"/>
      <c r="E51" s="137"/>
      <c r="F51" s="19">
        <f>COUNTIF(Data!BN$2:BN$500,1)</f>
        <v>0</v>
      </c>
      <c r="G51" s="20">
        <f>F51/COUNT(Data!$A$2:$A$500)</f>
        <v>0</v>
      </c>
      <c r="H51" s="4"/>
      <c r="I51" s="4"/>
      <c r="J51" s="4"/>
      <c r="K51" s="4"/>
      <c r="L51" s="4"/>
      <c r="M51" s="4"/>
      <c r="N51" s="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x14ac:dyDescent="0.25">
      <c r="A52" s="172">
        <v>9</v>
      </c>
      <c r="B52" s="136"/>
      <c r="C52" s="136"/>
      <c r="D52" s="136"/>
      <c r="E52" s="137"/>
      <c r="F52" s="19">
        <f>COUNTIF(Data!BN$2:BN$500,9)</f>
        <v>48</v>
      </c>
      <c r="G52" s="20">
        <f>F52/COUNT(Data!$A$2:$A$500)</f>
        <v>0.96</v>
      </c>
      <c r="H52" s="4"/>
      <c r="I52" s="4"/>
      <c r="J52" s="4"/>
      <c r="K52" s="4"/>
      <c r="L52" s="4"/>
      <c r="M52" s="4"/>
      <c r="N52" s="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.75" x14ac:dyDescent="0.3">
      <c r="A53" s="175" t="s">
        <v>72</v>
      </c>
      <c r="B53" s="136"/>
      <c r="C53" s="136"/>
      <c r="D53" s="136"/>
      <c r="E53" s="137"/>
      <c r="F53" s="57">
        <f>((F47*5)+(F48*4)+(F49*3)+(F50*2)+(F51*1))/SUM(F47:F51)</f>
        <v>4.5</v>
      </c>
      <c r="G53" s="39"/>
      <c r="H53" s="4"/>
      <c r="I53" s="4"/>
      <c r="J53" s="4"/>
      <c r="K53" s="4"/>
      <c r="L53" s="4"/>
      <c r="M53" s="4"/>
      <c r="N53" s="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x14ac:dyDescent="0.25">
      <c r="A54" s="169" t="s">
        <v>73</v>
      </c>
      <c r="B54" s="136"/>
      <c r="C54" s="136"/>
      <c r="D54" s="136"/>
      <c r="E54" s="137"/>
      <c r="F54" s="58">
        <f>((COUNTIFS(Data!B$2:B$500,"18–25 років",Data!BN$2:BN$500,5)*5)+(COUNTIFS(Data!B$2:B$500,"18–25 років",Data!BN$2:BN$500,4)*4)+(COUNTIFS(Data!B$2:B$500,"18–25 років",Data!BN$2:BN$500,3)*3)+(COUNTIFS(Data!B$2:B$500,"18–25 років",Data!BN$2:BN$500,2)*2)+(COUNTIFS(Data!B$2:B$500,"18–25 років",Data!BN$2:BN$500,1)*1))/(COUNTIFS(Data!B$2:B$500,"18–25 років",Data!BN$2:BN$500,5)+(COUNTIFS(Data!B$2:B$500,"18–25 років",Data!BN$2:BN$500,4)+(COUNTIFS(Data!B$2:B$500,"18–25 років",Data!BN$2:BN$500,3)+(COUNTIFS(Data!B$2:B$500,"18–25 років",Data!BN$2:BN$500,2)+(COUNTIFS(Data!B$2:B$500,"18–25 років",Data!BN$2:BN$500,1))))))</f>
        <v>5</v>
      </c>
      <c r="G54" s="28"/>
      <c r="H54" s="4"/>
      <c r="I54" s="4"/>
      <c r="J54" s="4"/>
      <c r="K54" s="4"/>
      <c r="L54" s="4"/>
      <c r="M54" s="4"/>
      <c r="N54" s="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x14ac:dyDescent="0.25">
      <c r="A55" s="169" t="s">
        <v>76</v>
      </c>
      <c r="B55" s="136"/>
      <c r="C55" s="136"/>
      <c r="D55" s="136"/>
      <c r="E55" s="137"/>
      <c r="F55" s="58">
        <f>((COUNTIFS(Data!B$2:B$500,"26–39 років",Data!BN$2:BN$500,5)*5)+(COUNTIFS(Data!B$2:B$500,"26–39 років",Data!BN$2:BN$500,4)*4)+(COUNTIFS(Data!B$2:B$500,"26–39 років",Data!BN$2:BN$500,3)*3)+(COUNTIFS(Data!B$2:B$500,"26–39 років",Data!BN$2:BN$500,2)*2)+(COUNTIFS(Data!B$2:B$500,"26–39 років",Data!BN$2:BN$500,1)*1))/(COUNTIFS(Data!B$2:B$500,"26–39 років",Data!BN$2:BN$500,5)+(COUNTIFS(Data!B$2:B$500,"26–39 років",Data!BN$2:BN$500,4)+(COUNTIFS(Data!B$2:B$500,"26–39 років",Data!BN$2:BN$500,3)+(COUNTIFS(Data!B$2:B$500,"26–39 років",Data!BN$2:BN$500,2)+(COUNTIFS(Data!B$2:B$500,"26–39 років",Data!BN$2:BN$500,1))))))</f>
        <v>4</v>
      </c>
      <c r="G55" s="28"/>
      <c r="H55" s="4"/>
      <c r="I55" s="4"/>
      <c r="J55" s="4"/>
      <c r="K55" s="4"/>
      <c r="L55" s="4"/>
      <c r="M55" s="4"/>
      <c r="N55" s="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x14ac:dyDescent="0.25">
      <c r="A56" s="169" t="s">
        <v>78</v>
      </c>
      <c r="B56" s="136"/>
      <c r="C56" s="136"/>
      <c r="D56" s="136"/>
      <c r="E56" s="137"/>
      <c r="F56" s="58" t="e">
        <f>((COUNTIFS(Data!B$2:B$500,"40–59 років",Data!BN$2:BN$500,5)*5)+(COUNTIFS(Data!B$2:B$500,"40–59 років",Data!BN$2:BN$500,4)*4)+(COUNTIFS(Data!B$2:B$500,"40–59 років",Data!BN$2:BN$500,3)*3)+(COUNTIFS(Data!B$2:B$500,"40–59 років",Data!BN$2:BN$500,2)*2)+(COUNTIFS(Data!B$2:B$500,"40–59 років",Data!BN$2:BN$500,1)*1))/(COUNTIFS(Data!B$2:B$500,"40–59 років",Data!BN$2:BN$500,5)+(COUNTIFS(Data!B$2:B$500,"40–59 років",Data!BN$2:BN$500,4)+(COUNTIFS(Data!B$2:B$500,"40–59 років",Data!BN$2:BN$500,3)+(COUNTIFS(Data!B$2:B$500,"40–59 років",Data!BN$2:BN$500,2)+(COUNTIFS(Data!B$2:B$500,"40–59 років",Data!BN$2:BN$500,1))))))</f>
        <v>#DIV/0!</v>
      </c>
      <c r="G56" s="28"/>
      <c r="H56" s="4"/>
      <c r="I56" s="4"/>
      <c r="J56" s="4"/>
      <c r="K56" s="4"/>
      <c r="L56" s="4"/>
      <c r="M56" s="4"/>
      <c r="N56" s="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x14ac:dyDescent="0.25">
      <c r="A57" s="169" t="s">
        <v>80</v>
      </c>
      <c r="B57" s="136"/>
      <c r="C57" s="136"/>
      <c r="D57" s="136"/>
      <c r="E57" s="137"/>
      <c r="F57" s="58" t="e">
        <f>((COUNTIFS(Data!B$2:B$500,"60 років і старше",Data!BN$2:BN$500,5)*5)+(COUNTIFS(Data!B$2:B$500,"60 років і старше",Data!BN$2:BN$500,4)*4)+(COUNTIFS(Data!B$2:B$500,"60 років і старше",Data!BN$2:BN$500,3)*3)+(COUNTIFS(Data!B$2:B$500,"60 років і старше",Data!BN$2:BN$500,2)*2)+(COUNTIFS(Data!B$2:B$500,"60 років і старше",Data!BN$2:BN$500,1)*1))/(COUNTIFS(Data!B$2:B$500,"60 років і старше",Data!BN$2:BN$500,5)+(COUNTIFS(Data!B$2:B$500,"60 років і старше",Data!BN$2:BN$500,4)+(COUNTIFS(Data!B$2:B$500,"60 років і старше",Data!BN$2:BN$500,3)+(COUNTIFS(Data!B$2:B$500,"60 років і старше",Data!BN$2:BN$500,2)+(COUNTIFS(Data!B$2:B$500,"60 років і старше",Data!BN$2:BN$500,1))))))</f>
        <v>#DIV/0!</v>
      </c>
      <c r="G57" s="28"/>
      <c r="H57" s="4"/>
      <c r="I57" s="4"/>
      <c r="J57" s="4"/>
      <c r="K57" s="4"/>
      <c r="L57" s="4"/>
      <c r="M57" s="4"/>
      <c r="N57" s="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x14ac:dyDescent="0.25">
      <c r="A58" s="162" t="s">
        <v>83</v>
      </c>
      <c r="B58" s="136"/>
      <c r="C58" s="136"/>
      <c r="D58" s="136"/>
      <c r="E58" s="137"/>
      <c r="F58" s="59">
        <f>((COUNTIFS(Data!C$2:C$500,"жіноча",Data!BN$2:BN$500,5)*5)+(COUNTIFS(Data!C$2:C$500,"жіноча",Data!BN$2:BN$500,4)*4)+(COUNTIFS(Data!C$2:C$500,"жіноча",Data!BN$2:BN$500,3)*3)+(COUNTIFS(Data!C$2:C$500,"жіноча",Data!BN$2:BN$500,2)*2)+(COUNTIFS(Data!C$2:C$500,"жіноча",Data!BN$2:BN$500,1)*1))/(COUNTIFS(Data!C$2:C$500,"жіноча",Data!BN$2:BN$500,5)+(COUNTIFS(Data!C$2:C$500,"жіноча",Data!BN$2:BN$500,4)+(COUNTIFS(Data!C$2:C$500,"жіноча",Data!BN$2:BN$500,3)+(COUNTIFS(Data!C$2:C$500,"жіноча",Data!BN$2:BN$500,2)+(COUNTIFS(Data!C$2:C$500,"жіноча",Data!BN$2:BN$500,1))))))</f>
        <v>4</v>
      </c>
      <c r="G58" s="28"/>
      <c r="H58" s="4"/>
      <c r="I58" s="4"/>
      <c r="J58" s="4"/>
      <c r="K58" s="4"/>
      <c r="L58" s="4"/>
      <c r="M58" s="4"/>
      <c r="N58" s="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x14ac:dyDescent="0.25">
      <c r="A59" s="162" t="s">
        <v>85</v>
      </c>
      <c r="B59" s="136"/>
      <c r="C59" s="136"/>
      <c r="D59" s="136"/>
      <c r="E59" s="137"/>
      <c r="F59" s="59">
        <f>((COUNTIFS(Data!C$2:C$500,"чоловіча",Data!BN$2:BN$500,5)*5)+(COUNTIFS(Data!C$2:C$500,"чоловіча",Data!BN$2:BN$500,4)*4)+(COUNTIFS(Data!C$2:C$500,"чоловіча",Data!BN$2:BN$500,3)*3)+(COUNTIFS(Data!C$2:C$500,"чоловіча",Data!BN$2:BN$500,2)*2)+(COUNTIFS(Data!C$2:C$500,"чоловіча",Data!BN$2:BN$500,1)*1))/(COUNTIFS(Data!C$2:C$500,"чоловіча",Data!BN$2:BN$500,5)+(COUNTIFS(Data!C$2:C$500,"чоловіча",Data!BN$2:BN$500,4)+(COUNTIFS(Data!C$2:C$500,"чоловіча",Data!BN$2:BN$500,3)+(COUNTIFS(Data!C$2:C$500,"чоловіча",Data!BN$2:BN$500,2)+(COUNTIFS(Data!C$2:C$500,"чоловіча",Data!BN$2:BN$500,1))))))</f>
        <v>5</v>
      </c>
      <c r="G59" s="28"/>
      <c r="H59" s="4"/>
      <c r="I59" s="4"/>
      <c r="J59" s="4"/>
      <c r="K59" s="4"/>
      <c r="L59" s="4"/>
      <c r="M59" s="4"/>
      <c r="N59" s="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x14ac:dyDescent="0.25">
      <c r="A60" s="161" t="s">
        <v>87</v>
      </c>
      <c r="B60" s="136"/>
      <c r="C60" s="136"/>
      <c r="D60" s="136"/>
      <c r="E60" s="137"/>
      <c r="F60" s="60" t="e">
        <f>((COUNTIFS(Data!D$2:D$500,"Середня та неповна середня",Data!BN$2:BN$500,5)*5)+(COUNTIFS(Data!D$2:D$500,"Середня та неповна середня",Data!BN$2:BN$500,4)*4)+(COUNTIFS(Data!D$2:D$500,"Середня та неповна середня",Data!BN$2:BN$500,3)*3)+(COUNTIFS(Data!D$2:D$500,"Середня та неповна середня",Data!BN$2:BN$500,2)*2)+(COUNTIFS(Data!D$2:D$500,"Середня та неповна середня",Data!BN$2:BN$500,1)*1))/(COUNTIFS(Data!D$2:D$500,"Середня та неповна середня",Data!BN$2:BN$500,5)+(COUNTIFS(Data!D$2:D$500,"Середня та неповна середня",Data!BN$2:BN$500,4)+(COUNTIFS(Data!D$2:D$500,"Середня та неповна середня",Data!BN$2:BN$500,3)+(COUNTIFS(Data!D$2:D$500,"Середня та неповна середня",Data!BN$2:BN$500,2)+(COUNTIFS(Data!D$2:D$500,"Середня та неповна середня",Data!BN$2:BN$500,1))))))</f>
        <v>#DIV/0!</v>
      </c>
      <c r="G60" s="28"/>
      <c r="H60" s="4"/>
      <c r="I60" s="4"/>
      <c r="J60" s="4"/>
      <c r="K60" s="4"/>
      <c r="L60" s="4"/>
      <c r="M60" s="4"/>
      <c r="N60" s="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x14ac:dyDescent="0.25">
      <c r="A61" s="161" t="s">
        <v>89</v>
      </c>
      <c r="B61" s="136"/>
      <c r="C61" s="136"/>
      <c r="D61" s="136"/>
      <c r="E61" s="137"/>
      <c r="F61" s="60">
        <f>((COUNTIFS(Data!D$2:D$500,"Вища та неповна вища",Data!BN$2:BN$500,5)*5)+(COUNTIFS(Data!D$2:D$500,"Вища та неповна вища",Data!BN$2:BN$500,4)*4)+(COUNTIFS(Data!D$2:D$500,"Вища та неповна вища",Data!BN$2:BN$500,3)*3)+(COUNTIFS(Data!D$2:D$500,"Вища та неповна вища",Data!BN$2:BN$500,2)*2)+(COUNTIFS(Data!D$2:D$500,"Вища та неповна вища",Data!BN$2:BN$500,1)*1))/(COUNTIFS(Data!D$2:D$500,"Вища та неповна вища",Data!BN$2:BN$500,5)+(COUNTIFS(Data!D$2:D$500,"Вища та неповна вища",Data!BN$2:BN$500,4)+(COUNTIFS(Data!D$2:D$500,"Вища та неповна вища",Data!BN$2:BN$500,3)+(COUNTIFS(Data!D$2:D$500,"Вища та неповна вища",Data!BN$2:BN$500,2)+(COUNTIFS(Data!D$2:D$500,"Вища та неповна вища",Data!BN$2:BN$500,1))))))</f>
        <v>4.5</v>
      </c>
      <c r="G61" s="28"/>
      <c r="H61" s="4"/>
      <c r="I61" s="4"/>
      <c r="J61" s="4"/>
      <c r="K61" s="4"/>
      <c r="L61" s="4"/>
      <c r="M61" s="4"/>
      <c r="N61" s="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x14ac:dyDescent="0.25">
      <c r="A62" s="161" t="s">
        <v>92</v>
      </c>
      <c r="B62" s="136"/>
      <c r="C62" s="136"/>
      <c r="D62" s="136"/>
      <c r="E62" s="137"/>
      <c r="F62" s="60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2" s="28"/>
      <c r="H62" s="4"/>
      <c r="I62" s="4"/>
      <c r="J62" s="4"/>
      <c r="K62" s="4"/>
      <c r="L62" s="4"/>
      <c r="M62" s="4"/>
      <c r="N62" s="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x14ac:dyDescent="0.25">
      <c r="A63" s="161" t="s">
        <v>92</v>
      </c>
      <c r="B63" s="136"/>
      <c r="C63" s="136"/>
      <c r="D63" s="136"/>
      <c r="E63" s="137"/>
      <c r="F63" s="60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3" s="28"/>
      <c r="H63" s="4"/>
      <c r="I63" s="4"/>
      <c r="J63" s="4"/>
      <c r="K63" s="4"/>
      <c r="L63" s="4"/>
      <c r="M63" s="4"/>
      <c r="N63" s="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x14ac:dyDescent="0.25">
      <c r="A64" s="171" t="s">
        <v>94</v>
      </c>
      <c r="B64" s="136"/>
      <c r="C64" s="136"/>
      <c r="D64" s="136"/>
      <c r="E64" s="137"/>
      <c r="F64" s="61">
        <f>((COUNTIFS(Data!E$2:E$500,"Так",Data!BN$2:BN$500,5)*5)+(COUNTIFS(Data!E$2:E$500,"Так",Data!BN$2:BN$500,4)*4)+(COUNTIFS(Data!E$2:E$500,"Так",Data!BN$2:BN$500,3)*3)+(COUNTIFS(Data!E$2:E$500,"Так",Data!BN$2:BN$500,2)*2)+(COUNTIFS(Data!E$2:E$500,"Так",Data!BN$2:BN$500,1)*1))/(COUNTIFS(Data!E$2:E$500,"Так",Data!BN$2:BN$500,5)+(COUNTIFS(Data!E$2:E$500,"Так",Data!BN$2:BN$500,4)+(COUNTIFS(Data!E$2:E$500,"Так",Data!BN$2:BN$500,3)+(COUNTIFS(Data!E$2:E$500,"Так",Data!BN$2:BN$500,2)+(COUNTIFS(Data!E$2:E$500,"Так",Data!BN$2:BN$500,1))))))</f>
        <v>4.5</v>
      </c>
      <c r="G64" s="28"/>
      <c r="H64" s="4"/>
      <c r="I64" s="4"/>
      <c r="J64" s="4"/>
      <c r="K64" s="4"/>
      <c r="L64" s="4"/>
      <c r="M64" s="4"/>
      <c r="N64" s="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x14ac:dyDescent="0.25">
      <c r="A65" s="171" t="s">
        <v>96</v>
      </c>
      <c r="B65" s="136"/>
      <c r="C65" s="136"/>
      <c r="D65" s="136"/>
      <c r="E65" s="137"/>
      <c r="F65" s="61" t="e">
        <f>((COUNTIFS(Data!E$2:E$500,"Ні",Data!BN$2:BN$500,5)*5)+(COUNTIFS(Data!E$2:E$500,"Ні",Data!BN$2:BN$500,4)*4)+(COUNTIFS(Data!E$2:E$500,"Ні",Data!BN$2:BN$500,3)*3)+(COUNTIFS(Data!E$2:E$500,"Ні",Data!BN$2:BN$500,2)*2)+(COUNTIFS(Data!E$2:E$500,"Ні",Data!BN$2:BN$500,1)*1))/(COUNTIFS(Data!E$2:E$500,"Ні",Data!BN$2:BN$500,5)+(COUNTIFS(Data!E$2:E$500,"Ні",Data!BN$2:BN$500,4)+(COUNTIFS(Data!E$2:E$500,"Ні",Data!BN$2:BN$500,3)+(COUNTIFS(Data!E$2:E$500,"Ні",Data!BN$2:BN$500,2)+(COUNTIFS(Data!E$2:E$500,"Ні",Data!BN$2:BN$500,1))))))</f>
        <v>#DIV/0!</v>
      </c>
      <c r="G65" s="28"/>
      <c r="H65" s="4"/>
      <c r="I65" s="4"/>
      <c r="J65" s="4"/>
      <c r="K65" s="4"/>
      <c r="L65" s="4"/>
      <c r="M65" s="4"/>
      <c r="N65" s="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x14ac:dyDescent="0.25">
      <c r="A66" s="170" t="s">
        <v>98</v>
      </c>
      <c r="B66" s="136"/>
      <c r="C66" s="136"/>
      <c r="D66" s="136"/>
      <c r="E66" s="137"/>
      <c r="F66" s="62">
        <f>((COUNTIFS(Data!F$2:F$500,"В населеному пункті, де розташований цей суд",Data!BN$2:BN$500,5)*5)+(COUNTIFS(Data!F$2:F$500,"В населеному пункті, де розташований цей суд",Data!BN$2:BN$500,4)*4)+(COUNTIFS(Data!F$2:F$500,"В населеному пункті, де розташований цей суд",Data!BN$2:BN$500,3)*3)+(COUNTIFS(Data!F$2:F$500,"В населеному пункті, де розташований цей суд",Data!BN$2:BN$500,2)*2)+(COUNTIFS(Data!F$2:F$500,"В населеному пункті, де розташований цей суд",Data!BN$2:BN$500,1)*1))/(COUNTIFS(Data!F$2:F$500,"В населеному пункті, де розташований цей суд",Data!BN$2:BN$500,5)+(COUNTIFS(Data!F$2:F$500,"В населеному пункті, де розташований цей суд",Data!BN$2:BN$500,4)+(COUNTIFS(Data!F$2:F$500,"В населеному пункті, де розташований цей суд",Data!BN$2:BN$500,3)+(COUNTIFS(Data!F$2:F$500,"В населеному пункті, де розташований цей суд",Data!BN$2:BN$500,2)+(COUNTIFS(Data!F$2:F$500,"В населеному пункті, де розташований цей суд",Data!BN$2:BN$500,1))))))</f>
        <v>4.5</v>
      </c>
      <c r="G66" s="28"/>
      <c r="H66" s="4"/>
      <c r="I66" s="4"/>
      <c r="J66" s="4"/>
      <c r="K66" s="4"/>
      <c r="L66" s="4"/>
      <c r="M66" s="4"/>
      <c r="N66" s="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x14ac:dyDescent="0.25">
      <c r="A67" s="170" t="s">
        <v>101</v>
      </c>
      <c r="B67" s="136"/>
      <c r="C67" s="136"/>
      <c r="D67" s="136"/>
      <c r="E67" s="137"/>
      <c r="F67" s="62" t="e">
        <f>((COUNTIFS(Data!F$2:F$500,"В іншому населеному пункті",Data!BN$2:BN$500,5)*5)+(COUNTIFS(Data!F$2:F$500,"В іншому населеному пункті",Data!BN$2:BN$500,4)*4)+(COUNTIFS(Data!F$2:F$500,"В іншому населеному пункті",Data!BN$2:BN$500,3)*3)+(COUNTIFS(Data!F$2:F$500,"В іншому населеному пункті",Data!BN$2:BN$500,2)*2)+(COUNTIFS(Data!F$2:F$500,"В іншому населеному пункті",Data!BN$2:BN$500,1)*1))/(COUNTIFS(Data!F$2:F$500,"В іншому населеному пункті",Data!BN$2:BN$500,5)+(COUNTIFS(Data!F$2:F$500,"В іншому населеному пункті",Data!BN$2:BN$500,4)+(COUNTIFS(Data!F$2:F$500,"В іншому населеному пункті",Data!BN$2:BN$500,3)+(COUNTIFS(Data!F$2:F$500,"В іншому населеному пункті",Data!BN$2:BN$500,2)+(COUNTIFS(Data!F$2:F$500,"В іншому населеному пункті",Data!BN$2:BN$500,1))))))</f>
        <v>#DIV/0!</v>
      </c>
      <c r="G67" s="28"/>
      <c r="H67" s="4"/>
      <c r="I67" s="4"/>
      <c r="J67" s="4"/>
      <c r="K67" s="4"/>
      <c r="L67" s="4"/>
      <c r="M67" s="4"/>
      <c r="N67" s="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x14ac:dyDescent="0.25">
      <c r="A68" s="163" t="s">
        <v>104</v>
      </c>
      <c r="B68" s="136"/>
      <c r="C68" s="136"/>
      <c r="D68" s="136"/>
      <c r="E68" s="137"/>
      <c r="F68" s="63" t="e">
        <f>((COUNTIFS(Data!G$2:G$500,"Змушені економити на харчуванні",Data!BN$2:BN$500,5)*5)+(COUNTIFS(Data!G$2:G$500,"Змушені економити на харчуванні",Data!BN$2:BN$500,4)*4)+(COUNTIFS(Data!G$2:G$500,"Змушені економити на харчуванні",Data!BN$2:BN$500,3)*3)+(COUNTIFS(Data!G$2:G$500,"Змушені економити на харчуванні",Data!BN$2:BN$500,2)*2)+(COUNTIFS(Data!G$2:G$500,"Змушені економити на харчуванні",Data!BN$2:BN$500,1)*1))/(COUNTIFS(Data!G$2:G$500,"Змушені економити на харчуванні",Data!BN$2:BN$500,5)+(COUNTIFS(Data!G$2:G$500,"Змушені економити на харчуванні",Data!BN$2:BN$500,4)+(COUNTIFS(Data!G$2:G$500,"Змушені економити на харчуванні",Data!BN$2:BN$500,3)+(COUNTIFS(Data!G$2:G$500,"Змушені економити на харчуванні",Data!BN$2:BN$500,2)+(COUNTIFS(Data!G$2:G$500,"Змушені економити на харчуванні",Data!BN$2:BN$500,1))))))</f>
        <v>#DIV/0!</v>
      </c>
      <c r="G68" s="28"/>
      <c r="H68" s="4"/>
      <c r="I68" s="4"/>
      <c r="J68" s="4"/>
      <c r="K68" s="4"/>
      <c r="L68" s="4"/>
      <c r="M68" s="4"/>
      <c r="N68" s="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x14ac:dyDescent="0.25">
      <c r="A69" s="163" t="s">
        <v>107</v>
      </c>
      <c r="B69" s="136"/>
      <c r="C69" s="136"/>
      <c r="D69" s="136"/>
      <c r="E69" s="137"/>
      <c r="F69" s="63" t="e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позичити",Data!BN$2:BN$500,1))))))</f>
        <v>#DIV/0!</v>
      </c>
      <c r="G69" s="28"/>
      <c r="H69" s="4"/>
      <c r="I69" s="4"/>
      <c r="J69" s="4"/>
      <c r="K69" s="4"/>
      <c r="L69" s="4"/>
      <c r="M69" s="4"/>
      <c r="N69" s="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x14ac:dyDescent="0.25">
      <c r="A70" s="163" t="s">
        <v>109</v>
      </c>
      <c r="B70" s="136"/>
      <c r="C70" s="136"/>
      <c r="D70" s="136"/>
      <c r="E70" s="137"/>
      <c r="F70" s="63" t="e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позичити",Data!BN$2:BN$500,1))))))</f>
        <v>#DIV/0!</v>
      </c>
      <c r="G70" s="28"/>
      <c r="H70" s="4"/>
      <c r="I70" s="4"/>
      <c r="J70" s="4"/>
      <c r="K70" s="4"/>
      <c r="L70" s="4"/>
      <c r="M70" s="4"/>
      <c r="N70" s="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x14ac:dyDescent="0.25">
      <c r="A71" s="163" t="s">
        <v>117</v>
      </c>
      <c r="B71" s="136"/>
      <c r="C71" s="136"/>
      <c r="D71" s="136"/>
      <c r="E71" s="137"/>
      <c r="F71" s="63">
        <f>((COUNTIFS(Data!G$2:G$500,"Вистачає на харчування, одяг, взуття, дорогі покупки. Для таких покупок як машина, квартира необхідно заощадити або позичити",Data!BN$2:BN$500,5)*5)+(COUNTIFS(Data!G$2:G$500,"Вистачає на харчування, одяг, взуття, дорогі покупки. Для таких покупок як машина, квартира необхідно заощадити або позичити",Data!BN$2:BN$500,4)*4)+(COUNTIFS(Data!G$2:G$500,"Вистачає на харчування, одяг, взуття, дорогі покупки. Для таких покупок як машина, квартира необхідно заощадити або позичити",Data!BN$2:BN$500,3)*3)+(COUNTIFS(Data!G$2:G$500,"Вистачає на харчування, одяг, взуття, дорогі покупки. Для таких покупок як машина, квартира необхідно заощадити або позичити",Data!BN$2:BN$500,2)*2)+(COUNTIFS(Data!G$2:G$500,"Вистачає на харчування, одяг, взуття, дорогі покупки. Для таких покупок як машина, квартира необхідно заощадити або позичити",Data!BN$2:BN$500,1)*1))/(COUNTIFS(Data!G$2:G$500,"Вистачає на харчування, одяг, взуття, дорогі покупки. Для таких покупок як машина, квартира необхідно заощадити або позичити",Data!BN$2:BN$500,5)+(COUNTIFS(Data!G$2:G$500,"Вистачає на харчування, одяг, взуття, дорогі покупки. Для таких покупок як машина, квартира необхідно заощадити або позичити",Data!BN$2:BN$500,4)+(COUNTIFS(Data!G$2:G$500,"Вистачає на харчування, одяг, взуття, дорогі покупки. Для таких покупок як машина, квартира необхідно заощадити або позичити",Data!BN$2:BN$500,3)+(COUNTIFS(Data!G$2:G$500,"Вистачає на харчування, одяг, взуття, дорогі покупки. Для таких покупок як машина, квартира необхідно заощадити або позичити",Data!BN$2:BN$500,2)+(COUNTIFS(Data!G$2:G$500,"Вистачає на харчування, одяг, взуття, дорогі покупки. Для таких покупок як машина, квартира необхідно заощадити або позичити",Data!BN$2:BN$500,1))))))</f>
        <v>4.5</v>
      </c>
      <c r="G71" s="28"/>
      <c r="H71" s="4"/>
      <c r="I71" s="4"/>
      <c r="J71" s="4"/>
      <c r="K71" s="4"/>
      <c r="L71" s="4"/>
      <c r="M71" s="4"/>
      <c r="N71" s="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x14ac:dyDescent="0.25">
      <c r="A72" s="163" t="s">
        <v>122</v>
      </c>
      <c r="B72" s="136"/>
      <c r="C72" s="136"/>
      <c r="D72" s="136"/>
      <c r="E72" s="137"/>
      <c r="F72" s="63" t="e">
        <f>((COUNTIFS(Data!G$2:G$500,"Будь-які необхідні покупки можу зробити в будь-який час",Data!BN$2:BN$500,5)*5)+(COUNTIFS(Data!G$2:G$500,"Будь-які необхідні покупки можу зробити в будь-який час",Data!BN$2:BN$500,4)*4)+(COUNTIFS(Data!G$2:G$500,"Будь-які необхідні покупки можу зробити в будь-який час",Data!BN$2:BN$500,3)*3)+(COUNTIFS(Data!G$2:G$500,"Будь-які необхідні покупки можу зробити в будь-який час",Data!BN$2:BN$500,2)*2)+(COUNTIFS(Data!G$2:G$500,"Будь-які необхідні покупки можу зробити в будь-який час",Data!BN$2:BN$500,1)*1))/(COUNTIFS(Data!G$2:G$500,"Будь-які необхідні покупки можу зробити в будь-який час",Data!BN$2:BN$500,5)+(COUNTIFS(Data!G$2:G$500,"Будь-які необхідні покупки можу зробити в будь-який час",Data!BN$2:BN$500,4)+(COUNTIFS(Data!G$2:G$500,"Будь-які необхідні покупки можу зробити в будь-який час",Data!BN$2:BN$500,3)+(COUNTIFS(Data!G$2:G$500,"Будь-які необхідні покупки можу зробити в будь-який час",Data!BN$2:BN$500,2)+(COUNTIFS(Data!G$2:G$500,"Будь-які необхідні покупки можу зробити в будь-який час",Data!BN$2:BN$500,1))))))</f>
        <v>#DIV/0!</v>
      </c>
      <c r="G72" s="28"/>
      <c r="H72" s="4"/>
      <c r="I72" s="4"/>
      <c r="J72" s="4"/>
      <c r="K72" s="4"/>
      <c r="L72" s="4"/>
      <c r="M72" s="4"/>
      <c r="N72" s="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x14ac:dyDescent="0.25">
      <c r="A73" s="163" t="s">
        <v>125</v>
      </c>
      <c r="B73" s="136"/>
      <c r="C73" s="136"/>
      <c r="D73" s="136"/>
      <c r="E73" s="137"/>
      <c r="F73" s="63" t="e">
        <f>((COUNTIFS(Data!G$2:G$500,"КН (код невідповіді)",Data!BN$2:BN$500,5)*5)+(COUNTIFS(Data!G$2:G$500,"КН (код невідповіді)",Data!BN$2:BN$500,4)*4)+(COUNTIFS(Data!G$2:G$500,"КН (код невідповіді)",Data!BN$2:BN$500,3)*3)+(COUNTIFS(Data!G$2:G$500,"КН (код невідповіді)",Data!BN$2:BN$500,2)*2)+(COUNTIFS(Data!G$2:G$500,"КН (код невідповіді)",Data!BN$2:BN$500,1)*1))/(COUNTIFS(Data!G$2:G$500,"КН (код невідповіді)",Data!BN$2:BN$500,5)+(COUNTIFS(Data!G$2:G$500,"КН (код невідповіді)",Data!BN$2:BN$500,4)+(COUNTIFS(Data!G$2:G$500,"КН (код невідповіді)",Data!BN$2:BN$500,3)+(COUNTIFS(Data!G$2:G$500,"КН (код невідповіді)",Data!BN$2:BN$500,2)+(COUNTIFS(Data!G$2:G$500,"КН (код невідповіді)",Data!BN$2:BN$500,1))))))</f>
        <v>#DIV/0!</v>
      </c>
      <c r="G73" s="28"/>
      <c r="H73" s="4"/>
      <c r="I73" s="4"/>
      <c r="J73" s="4"/>
      <c r="K73" s="4"/>
      <c r="L73" s="4"/>
      <c r="M73" s="4"/>
      <c r="N73" s="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x14ac:dyDescent="0.25">
      <c r="A74" s="174" t="s">
        <v>128</v>
      </c>
      <c r="B74" s="136"/>
      <c r="C74" s="136"/>
      <c r="D74" s="136"/>
      <c r="E74" s="137"/>
      <c r="F74" s="83" t="e">
        <f>((COUNTIFS(Data!H$2:H$500,"Є учасником судових проваджень і представляєте особисто себе",Data!BN$2:BN$500,5)*5)+(COUNTIFS(Data!H$2:H$500,"Є учасником судових проваджень і представляєте особисто себе",Data!BN$2:BN$500,4)*4)+(COUNTIFS(Data!H$2:H$500,"Є учасником судових проваджень і представляєте особисто себе",Data!BN$2:BN$500,3)*3)+(COUNTIFS(Data!H$2:H$500,"Є учасником судових проваджень і представляєте особисто себе",Data!BN$2:BN$500,2)*2)+(COUNTIFS(Data!H$2:H$500,"Є учасником судових проваджень і представляєте особисто себе",Data!BN$2:BN$500,1)*1))/(COUNTIFS(Data!H$2:H$500,"Є учасником судових проваджень і представляєте особисто себе",Data!BN$2:BN$500,5)+(COUNTIFS(Data!H$2:H$500,"Є учасником судових проваджень і представляєте особисто себе",Data!BN$2:BN$500,4)+(COUNTIFS(Data!H$2:H$500,"Є учасником судових проваджень і представляєте особисто себе",Data!BN$2:BN$500,3)+(COUNTIFS(Data!H$2:H$500,"Є учасником судових проваджень і представляєте особисто себе",Data!BN$2:BN$500,2)+(COUNTIFS(Data!H$2:H$500,"Є учасником судових проваджень і представляєте особисто себе",Data!BN$2:BN$500,1))))))</f>
        <v>#DIV/0!</v>
      </c>
      <c r="G74" s="28"/>
      <c r="H74" s="4"/>
      <c r="I74" s="4"/>
      <c r="J74" s="4"/>
      <c r="K74" s="4"/>
      <c r="L74" s="4"/>
      <c r="M74" s="4"/>
      <c r="N74" s="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x14ac:dyDescent="0.25">
      <c r="A75" s="174" t="s">
        <v>132</v>
      </c>
      <c r="B75" s="136"/>
      <c r="C75" s="136"/>
      <c r="D75" s="136"/>
      <c r="E75" s="137"/>
      <c r="F75" s="83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юрист-консультантом)",Data!BN$2:BN$500,1))))))</f>
        <v>4.5</v>
      </c>
      <c r="G75" s="28"/>
      <c r="H75" s="4"/>
      <c r="I75" s="4"/>
      <c r="J75" s="4"/>
      <c r="K75" s="4"/>
      <c r="L75" s="4"/>
      <c r="M75" s="4"/>
      <c r="N75" s="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x14ac:dyDescent="0.25">
      <c r="A76" s="174" t="s">
        <v>136</v>
      </c>
      <c r="B76" s="136"/>
      <c r="C76" s="136"/>
      <c r="D76" s="136"/>
      <c r="E76" s="137"/>
      <c r="F76" s="83" t="e">
        <f>((COUNTIFS(Data!H$2:H$500,"Не є учасником судових проваджень",Data!BN$2:BN$500,5)*5)+(COUNTIFS(Data!H$2:H$500,"Не є учасником судових проваджень",Data!BN$2:BN$500,4)*4)+(COUNTIFS(Data!H$2:H$500,"Не є учасником судових проваджень",Data!BN$2:BN$500,3)*3)+(COUNTIFS(Data!H$2:H$500,"Не є учасником судових проваджень",Data!BN$2:BN$500,2)*2)+(COUNTIFS(Data!H$2:H$500,"Не є учасником судових проваджень",Data!BN$2:BN$500,1)*1))/(COUNTIFS(Data!H$2:H$500,"Не є учасником судових проваджень",Data!BN$2:BN$500,5)+(COUNTIFS(Data!H$2:H$500,"Не є учасником судових проваджень",Data!BN$2:BN$500,4)+(COUNTIFS(Data!H$2:H$500,"Не є учасником судових проваджень",Data!BN$2:BN$500,3)+(COUNTIFS(Data!H$2:H$500,"Не є учасником судових проваджень",Data!BN$2:BN$500,2)+(COUNTIFS(Data!H$2:H$500,"Не є учасником судових проваджень",Data!BN$2:BN$500,1))))))</f>
        <v>#DIV/0!</v>
      </c>
      <c r="G76" s="28"/>
      <c r="H76" s="4"/>
      <c r="I76" s="4"/>
      <c r="J76" s="4"/>
      <c r="K76" s="4"/>
      <c r="L76" s="4"/>
      <c r="M76" s="4"/>
      <c r="N76" s="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x14ac:dyDescent="0.25">
      <c r="A77" s="174" t="s">
        <v>99</v>
      </c>
      <c r="B77" s="136"/>
      <c r="C77" s="136"/>
      <c r="D77" s="136"/>
      <c r="E77" s="137"/>
      <c r="F77" s="83" t="e">
        <f>((COUNTIFS(Data!H$2:H$500,"Інше",Data!BN$2:BN$500,5)*5)+(COUNTIFS(Data!H$2:H$500,"Інше",Data!BN$2:BN$500,4)*4)+(COUNTIFS(Data!H$2:H$500,"Інше",Data!BN$2:BN$500,3)*3)+(COUNTIFS(Data!H$2:H$500,"Інше",Data!BN$2:BN$500,2)*2)+(COUNTIFS(Data!H$2:H$500,"Інше",Data!BN$2:BN$500,1)*1))/(COUNTIFS(Data!H$2:H$500,"Інше",Data!BN$2:BN$500,5)+(COUNTIFS(Data!H$2:H$500,"Інше",Data!BN$2:BN$500,4)+(COUNTIFS(Data!H$2:H$500,"Інше",Data!BN$2:BN$500,3)+(COUNTIFS(Data!H$2:H$500,"Інше",Data!BN$2:BN$500,2)+(COUNTIFS(Data!H$2:H$500,"Інше",Data!BN$2:BN$500,1))))))</f>
        <v>#DIV/0!</v>
      </c>
      <c r="G77" s="28"/>
      <c r="H77" s="4"/>
      <c r="I77" s="4"/>
      <c r="J77" s="4"/>
      <c r="K77" s="4"/>
      <c r="L77" s="4"/>
      <c r="M77" s="4"/>
      <c r="N77" s="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x14ac:dyDescent="0.25">
      <c r="A78" s="162" t="s">
        <v>140</v>
      </c>
      <c r="B78" s="136"/>
      <c r="C78" s="136"/>
      <c r="D78" s="136"/>
      <c r="E78" s="137"/>
      <c r="F78" s="59">
        <f>((COUNTIFS(Data!I$2:I$500,"Цивільний процес",Data!BN$2:BN$500,5)*5)+(COUNTIFS(Data!I$2:I$500,"Цивільний процес",Data!BN$2:BN$500,4)*4)+(COUNTIFS(Data!I$2:I$500,"Цивільний процес",Data!BN$2:BN$500,3)*3)+(COUNTIFS(Data!I$2:I$500,"Цивільний процес",Data!BN$2:BN$500,2)*2)+(COUNTIFS(Data!I$2:I$500,"Цивільний процес",Data!BN$2:BN$500,1)*1))/(COUNTIFS(Data!I$2:I$500,"Цивільний процес",Data!BN$2:BN$500,5)+(COUNTIFS(Data!I$2:I$500,"Цивільний процес",Data!BN$2:BN$500,4)+(COUNTIFS(Data!I$2:I$500,"Цивільний процес",Data!BN$2:BN$500,3)+(COUNTIFS(Data!I$2:I$500,"Цивільний процес",Data!BN$2:BN$500,2)+(COUNTIFS(Data!I$2:I$500,"Цивільний процес",Data!BN$2:BN$500,1))))))</f>
        <v>4.5</v>
      </c>
      <c r="G78" s="28"/>
      <c r="H78" s="4"/>
      <c r="I78" s="4"/>
      <c r="J78" s="4"/>
      <c r="K78" s="4"/>
      <c r="L78" s="4"/>
      <c r="M78" s="4"/>
      <c r="N78" s="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x14ac:dyDescent="0.25">
      <c r="A79" s="162" t="s">
        <v>144</v>
      </c>
      <c r="B79" s="136"/>
      <c r="C79" s="136"/>
      <c r="D79" s="136"/>
      <c r="E79" s="137"/>
      <c r="F79" s="59" t="e">
        <f>((COUNTIFS(Data!I$2:I$500,"Кримінальний процес",Data!BN$2:BN$500,5)*5)+(COUNTIFS(Data!I$2:I$500,"Кримінальний процес",Data!BN$2:BN$500,4)*4)+(COUNTIFS(Data!I$2:I$500,"Кримінальний процес",Data!BN$2:BN$500,3)*3)+(COUNTIFS(Data!I$2:I$500,"Кримінальний процес",Data!BN$2:BN$500,2)*2)+(COUNTIFS(Data!I$2:I$500,"Кримінальний процес",Data!BN$2:BN$500,1)*1))/(COUNTIFS(Data!I$2:I$500,"Кримінальний процес",Data!BN$2:BN$500,5)+(COUNTIFS(Data!I$2:I$500,"Кримінальний процес",Data!BN$2:BN$500,4)+(COUNTIFS(Data!I$2:I$500,"Кримінальний процес",Data!BN$2:BN$500,3)+(COUNTIFS(Data!I$2:I$500,"Кримінальний процес",Data!BN$2:BN$500,2)+(COUNTIFS(Data!I$2:I$500,"Кримінальний процес",Data!BN$2:BN$500,1))))))</f>
        <v>#DIV/0!</v>
      </c>
      <c r="G79" s="28"/>
      <c r="H79" s="4"/>
      <c r="I79" s="4"/>
      <c r="J79" s="4"/>
      <c r="K79" s="4"/>
      <c r="L79" s="4"/>
      <c r="M79" s="4"/>
      <c r="N79" s="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x14ac:dyDescent="0.25">
      <c r="A80" s="162" t="s">
        <v>147</v>
      </c>
      <c r="B80" s="136"/>
      <c r="C80" s="136"/>
      <c r="D80" s="136"/>
      <c r="E80" s="137"/>
      <c r="F80" s="59" t="e">
        <f>((COUNTIFS(Data!I$2:I$500,"Адміністративний процес",Data!BN$2:BN$500,5)*5)+(COUNTIFS(Data!I$2:I$500,"Адміністративний процес",Data!BN$2:BN$500,4)*4)+(COUNTIFS(Data!I$2:I$500,"Адміністративний процес",Data!BN$2:BN$500,3)*3)+(COUNTIFS(Data!I$2:I$500,"Адміністративний процес",Data!BN$2:BN$500,2)*2)+(COUNTIFS(Data!I$2:I$500,"Адміністративний процес",Data!BN$2:BN$500,1)*1))/(COUNTIFS(Data!I$2:I$500,"Адміністративний процес",Data!BN$2:BN$500,5)+(COUNTIFS(Data!I$2:I$500,"Адміністративний процес",Data!BN$2:BN$500,4)+(COUNTIFS(Data!I$2:I$500,"Адміністративний процес",Data!BN$2:BN$500,3)+(COUNTIFS(Data!I$2:I$500,"Адміністративний процес",Data!BN$2:BN$500,2)+(COUNTIFS(Data!I$2:I$500,"Адміністративний процес",Data!BN$2:BN$500,1))))))</f>
        <v>#DIV/0!</v>
      </c>
      <c r="G80" s="28"/>
      <c r="H80" s="4"/>
      <c r="I80" s="4"/>
      <c r="J80" s="4"/>
      <c r="K80" s="4"/>
      <c r="L80" s="4"/>
      <c r="M80" s="4"/>
      <c r="N80" s="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x14ac:dyDescent="0.25">
      <c r="A81" s="162" t="s">
        <v>151</v>
      </c>
      <c r="B81" s="136"/>
      <c r="C81" s="136"/>
      <c r="D81" s="136"/>
      <c r="E81" s="137"/>
      <c r="F81" s="59" t="e">
        <f>((COUNTIFS(Data!I$2:I$500,"Господарський процес",Data!BN$2:BN$500,5)*5)+(COUNTIFS(Data!I$2:I$500,"Господарський процес",Data!BN$2:BN$500,4)*4)+(COUNTIFS(Data!I$2:I$500,"Господарський процес",Data!BN$2:BN$500,3)*3)+(COUNTIFS(Data!I$2:I$500,"Господарський процес",Data!BN$2:BN$500,2)*2)+(COUNTIFS(Data!I$2:I$500,"Господарський процес",Data!BN$2:BN$500,1)*1))/(COUNTIFS(Data!I$2:I$500,"Господарський процес",Data!BN$2:BN$500,5)+(COUNTIFS(Data!I$2:I$500,"Господарський процес",Data!BN$2:BN$500,4)+(COUNTIFS(Data!I$2:I$500,"Господарський процес",Data!BN$2:BN$500,3)+(COUNTIFS(Data!I$2:I$500,"Господарський процес",Data!BN$2:BN$500,2)+(COUNTIFS(Data!I$2:I$500,"Господарський процес",Data!BN$2:BN$500,1))))))</f>
        <v>#DIV/0!</v>
      </c>
      <c r="G81" s="28"/>
      <c r="H81" s="4"/>
      <c r="I81" s="4"/>
      <c r="J81" s="4"/>
      <c r="K81" s="4"/>
      <c r="L81" s="4"/>
      <c r="M81" s="4"/>
      <c r="N81" s="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x14ac:dyDescent="0.25">
      <c r="A82" s="162" t="s">
        <v>153</v>
      </c>
      <c r="B82" s="136"/>
      <c r="C82" s="136"/>
      <c r="D82" s="136"/>
      <c r="E82" s="137"/>
      <c r="F82" s="59" t="e">
        <f>((COUNTIFS(Data!I$2:I$500,"Справа про адміністративні  правопорушення",Data!BN$2:BN$500,5)*5)+(COUNTIFS(Data!I$2:I$500,"Справа про адміністративні  правопорушення",Data!BN$2:BN$500,4)*4)+(COUNTIFS(Data!I$2:I$500,"Справа про адміністративні  правопорушення",Data!BN$2:BN$500,3)*3)+(COUNTIFS(Data!I$2:I$500,"Справа про адміністративні  правопорушення",Data!BN$2:BN$500,2)*2)+(COUNTIFS(Data!I$2:I$500,"Справа про адміністративні  правопорушення",Data!BN$2:BN$500,1)*1))/(COUNTIFS(Data!I$2:I$500,"Справа про адміністративні  правопорушення",Data!BN$2:BN$500,5)+(COUNTIFS(Data!I$2:I$500,"Справа про адміністративні  правопорушення",Data!BN$2:BN$500,4)+(COUNTIFS(Data!I$2:I$500,"Справа про адміністративні  правопорушення",Data!BN$2:BN$500,3)+(COUNTIFS(Data!I$2:I$500,"Справа про адміністративні  правопорушення",Data!BN$2:BN$500,2)+(COUNTIFS(Data!I$2:I$500,"Справа про адміністративні  правопорушення",Data!BN$2:BN$500,1))))))</f>
        <v>#DIV/0!</v>
      </c>
      <c r="G82" s="28"/>
      <c r="H82" s="4"/>
      <c r="I82" s="4"/>
      <c r="J82" s="4"/>
      <c r="K82" s="4"/>
      <c r="L82" s="4"/>
      <c r="M82" s="4"/>
      <c r="N82" s="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5"/>
      <c r="B83" s="65"/>
      <c r="C83" s="65"/>
      <c r="D83" s="65"/>
      <c r="E83" s="65"/>
      <c r="F83" s="5"/>
      <c r="G83" s="28"/>
      <c r="H83" s="4"/>
      <c r="I83" s="4"/>
      <c r="J83" s="4"/>
      <c r="K83" s="4"/>
      <c r="L83" s="4"/>
      <c r="M83" s="4"/>
      <c r="N83" s="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5"/>
      <c r="B84" s="65"/>
      <c r="C84" s="65"/>
      <c r="D84" s="65"/>
      <c r="E84" s="65"/>
      <c r="F84" s="5"/>
      <c r="G84" s="28"/>
      <c r="H84" s="4"/>
      <c r="I84" s="4"/>
      <c r="J84" s="4"/>
      <c r="K84" s="4"/>
      <c r="L84" s="4"/>
      <c r="M84" s="4"/>
      <c r="N84" s="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5"/>
      <c r="B85" s="65"/>
      <c r="C85" s="65"/>
      <c r="D85" s="65"/>
      <c r="E85" s="65"/>
      <c r="F85" s="5"/>
      <c r="G85" s="28"/>
      <c r="H85" s="4"/>
      <c r="I85" s="4"/>
      <c r="J85" s="4"/>
      <c r="K85" s="4"/>
      <c r="L85" s="4"/>
      <c r="M85" s="4"/>
      <c r="N85" s="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5"/>
      <c r="B86" s="65"/>
      <c r="C86" s="65"/>
      <c r="D86" s="65"/>
      <c r="E86" s="65"/>
      <c r="F86" s="5"/>
      <c r="G86" s="28"/>
      <c r="H86" s="4"/>
      <c r="I86" s="4"/>
      <c r="J86" s="4"/>
      <c r="K86" s="4"/>
      <c r="L86" s="4"/>
      <c r="M86" s="4"/>
      <c r="N86" s="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5"/>
      <c r="B87" s="65"/>
      <c r="C87" s="65"/>
      <c r="D87" s="65"/>
      <c r="E87" s="65"/>
      <c r="F87" s="5"/>
      <c r="G87" s="28"/>
      <c r="H87" s="4"/>
      <c r="I87" s="4"/>
      <c r="J87" s="4"/>
      <c r="K87" s="4"/>
      <c r="L87" s="4"/>
      <c r="M87" s="4"/>
      <c r="N87" s="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65"/>
      <c r="B88" s="65"/>
      <c r="C88" s="65"/>
      <c r="D88" s="65"/>
      <c r="E88" s="65"/>
      <c r="F88" s="5"/>
      <c r="G88" s="28"/>
      <c r="H88" s="4"/>
      <c r="I88" s="4"/>
      <c r="J88" s="4"/>
      <c r="K88" s="4"/>
      <c r="L88" s="4"/>
      <c r="M88" s="4"/>
      <c r="N88" s="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5"/>
      <c r="B89" s="65"/>
      <c r="C89" s="65"/>
      <c r="D89" s="65"/>
      <c r="E89" s="65"/>
      <c r="F89" s="5"/>
      <c r="G89" s="28"/>
      <c r="H89" s="4"/>
      <c r="I89" s="4"/>
      <c r="J89" s="4"/>
      <c r="K89" s="4"/>
      <c r="L89" s="4"/>
      <c r="M89" s="4"/>
      <c r="N89" s="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</sheetData>
  <mergeCells count="42">
    <mergeCell ref="A38:E38"/>
    <mergeCell ref="A66:E66"/>
    <mergeCell ref="A65:E65"/>
    <mergeCell ref="A63:E63"/>
    <mergeCell ref="A61:E61"/>
    <mergeCell ref="A62:E62"/>
    <mergeCell ref="A59:E59"/>
    <mergeCell ref="A60:E60"/>
    <mergeCell ref="A57:E57"/>
    <mergeCell ref="A58:E58"/>
    <mergeCell ref="A68:E68"/>
    <mergeCell ref="A12:F12"/>
    <mergeCell ref="A20:E20"/>
    <mergeCell ref="A56:E56"/>
    <mergeCell ref="A55:E55"/>
    <mergeCell ref="A48:E48"/>
    <mergeCell ref="A49:E49"/>
    <mergeCell ref="A47:E47"/>
    <mergeCell ref="A46:E46"/>
    <mergeCell ref="A53:E53"/>
    <mergeCell ref="A54:E54"/>
    <mergeCell ref="A50:E50"/>
    <mergeCell ref="A51:E51"/>
    <mergeCell ref="A67:E67"/>
    <mergeCell ref="A64:E64"/>
    <mergeCell ref="A31:E31"/>
    <mergeCell ref="A5:F5"/>
    <mergeCell ref="A52:E52"/>
    <mergeCell ref="A77:E77"/>
    <mergeCell ref="A81:E81"/>
    <mergeCell ref="A82:E82"/>
    <mergeCell ref="A80:E80"/>
    <mergeCell ref="A79:E79"/>
    <mergeCell ref="A78:E78"/>
    <mergeCell ref="A75:E75"/>
    <mergeCell ref="A74:E74"/>
    <mergeCell ref="A72:E72"/>
    <mergeCell ref="A70:E70"/>
    <mergeCell ref="A71:E71"/>
    <mergeCell ref="A76:E76"/>
    <mergeCell ref="A73:E73"/>
    <mergeCell ref="A69:E6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7"/>
  <sheetViews>
    <sheetView workbookViewId="0"/>
  </sheetViews>
  <sheetFormatPr defaultColWidth="14.42578125" defaultRowHeight="15.75" customHeight="1" x14ac:dyDescent="0.2"/>
  <cols>
    <col min="1" max="1" width="78" customWidth="1"/>
  </cols>
  <sheetData>
    <row r="1" spans="1:6" ht="15" x14ac:dyDescent="0.25">
      <c r="A1" s="163" t="s">
        <v>307</v>
      </c>
      <c r="B1" s="136"/>
      <c r="C1" s="136"/>
      <c r="D1" s="136"/>
      <c r="E1" s="137"/>
      <c r="F1" s="63" t="e">
        <f>Block1!F74</f>
        <v>#DIV/0!</v>
      </c>
    </row>
    <row r="2" spans="1:6" ht="15" x14ac:dyDescent="0.25">
      <c r="A2" s="163" t="s">
        <v>308</v>
      </c>
      <c r="B2" s="136"/>
      <c r="C2" s="136"/>
      <c r="D2" s="136"/>
      <c r="E2" s="137"/>
      <c r="F2" s="63">
        <f>Block1!F75</f>
        <v>4.166666666666667</v>
      </c>
    </row>
    <row r="3" spans="1:6" ht="15" x14ac:dyDescent="0.25">
      <c r="A3" s="163" t="s">
        <v>309</v>
      </c>
      <c r="B3" s="136"/>
      <c r="C3" s="136"/>
      <c r="D3" s="136"/>
      <c r="E3" s="137"/>
      <c r="F3" s="63">
        <f>Block1!F76</f>
        <v>4.625</v>
      </c>
    </row>
    <row r="4" spans="1:6" ht="15" x14ac:dyDescent="0.25">
      <c r="A4" s="163" t="s">
        <v>310</v>
      </c>
      <c r="B4" s="136"/>
      <c r="C4" s="136"/>
      <c r="D4" s="136"/>
      <c r="E4" s="137"/>
      <c r="F4" s="63">
        <f>Block1!F77</f>
        <v>4.615384615384615</v>
      </c>
    </row>
    <row r="5" spans="1:6" ht="15" x14ac:dyDescent="0.25">
      <c r="A5" s="163" t="s">
        <v>311</v>
      </c>
      <c r="B5" s="136"/>
      <c r="C5" s="136"/>
      <c r="D5" s="136"/>
      <c r="E5" s="137"/>
      <c r="F5" s="63" t="e">
        <f>Block1!F78</f>
        <v>#DIV/0!</v>
      </c>
    </row>
    <row r="6" spans="1:6" ht="15" x14ac:dyDescent="0.25">
      <c r="A6" s="163" t="s">
        <v>91</v>
      </c>
      <c r="B6" s="136"/>
      <c r="C6" s="136"/>
      <c r="D6" s="136"/>
      <c r="E6" s="137"/>
      <c r="F6" s="63">
        <f>Block1!F79</f>
        <v>5</v>
      </c>
    </row>
    <row r="7" spans="1:6" ht="15" x14ac:dyDescent="0.25">
      <c r="A7" s="174" t="s">
        <v>312</v>
      </c>
      <c r="B7" s="136"/>
      <c r="C7" s="136"/>
      <c r="D7" s="136"/>
      <c r="E7" s="137"/>
      <c r="F7" s="83">
        <f>Block1!F80</f>
        <v>4.375</v>
      </c>
    </row>
    <row r="8" spans="1:6" ht="15" x14ac:dyDescent="0.25">
      <c r="A8" s="174" t="s">
        <v>313</v>
      </c>
      <c r="B8" s="136"/>
      <c r="C8" s="136"/>
      <c r="D8" s="136"/>
      <c r="E8" s="137"/>
      <c r="F8" s="83">
        <f>Block1!F81</f>
        <v>5</v>
      </c>
    </row>
    <row r="9" spans="1:6" ht="15" x14ac:dyDescent="0.25">
      <c r="A9" s="174" t="s">
        <v>97</v>
      </c>
      <c r="B9" s="136"/>
      <c r="C9" s="136"/>
      <c r="D9" s="136"/>
      <c r="E9" s="137"/>
      <c r="F9" s="83">
        <f>Block1!F82</f>
        <v>4.4210526315789478</v>
      </c>
    </row>
    <row r="10" spans="1:6" ht="15" x14ac:dyDescent="0.25">
      <c r="A10" s="174" t="s">
        <v>314</v>
      </c>
      <c r="B10" s="136"/>
      <c r="C10" s="136"/>
      <c r="D10" s="136"/>
      <c r="E10" s="137"/>
      <c r="F10" s="83" t="e">
        <f>Block1!F83</f>
        <v>#DIV/0!</v>
      </c>
    </row>
    <row r="11" spans="1:6" ht="15" x14ac:dyDescent="0.25">
      <c r="A11" s="162" t="s">
        <v>100</v>
      </c>
      <c r="B11" s="136"/>
      <c r="C11" s="136"/>
      <c r="D11" s="136"/>
      <c r="E11" s="137"/>
      <c r="F11" s="83">
        <f>Block1!F84</f>
        <v>4.5999999999999996</v>
      </c>
    </row>
    <row r="12" spans="1:6" ht="15" x14ac:dyDescent="0.25">
      <c r="A12" s="162" t="s">
        <v>102</v>
      </c>
      <c r="B12" s="136"/>
      <c r="C12" s="136"/>
      <c r="D12" s="136"/>
      <c r="E12" s="137"/>
      <c r="F12" s="83" t="e">
        <f>Block1!F85</f>
        <v>#DIV/0!</v>
      </c>
    </row>
    <row r="13" spans="1:6" ht="15" x14ac:dyDescent="0.25">
      <c r="A13" s="162" t="s">
        <v>103</v>
      </c>
      <c r="B13" s="136"/>
      <c r="C13" s="136"/>
      <c r="D13" s="136"/>
      <c r="E13" s="137"/>
      <c r="F13" s="83">
        <f>Block1!F86</f>
        <v>4.333333333333333</v>
      </c>
    </row>
    <row r="14" spans="1:6" ht="15" x14ac:dyDescent="0.25">
      <c r="A14" s="162" t="s">
        <v>105</v>
      </c>
      <c r="B14" s="136"/>
      <c r="C14" s="136"/>
      <c r="D14" s="136"/>
      <c r="E14" s="137"/>
      <c r="F14" s="83" t="e">
        <f>Block1!F87</f>
        <v>#DIV/0!</v>
      </c>
    </row>
    <row r="15" spans="1:6" ht="15" x14ac:dyDescent="0.25">
      <c r="A15" s="162" t="s">
        <v>106</v>
      </c>
      <c r="B15" s="136"/>
      <c r="C15" s="136"/>
      <c r="D15" s="136"/>
      <c r="E15" s="137"/>
      <c r="F15" s="83">
        <f>Block1!F88</f>
        <v>5</v>
      </c>
    </row>
    <row r="19" spans="1:2" ht="15.75" customHeight="1" x14ac:dyDescent="0.2">
      <c r="A19" s="110" t="s">
        <v>114</v>
      </c>
      <c r="B19" s="56">
        <f>Block2!H8</f>
        <v>4.76</v>
      </c>
    </row>
    <row r="20" spans="1:2" ht="15.75" customHeight="1" x14ac:dyDescent="0.2">
      <c r="A20" s="110" t="s">
        <v>315</v>
      </c>
      <c r="B20" s="56">
        <f>Block2!H9</f>
        <v>4.6388888888888893</v>
      </c>
    </row>
    <row r="21" spans="1:2" ht="15.75" customHeight="1" x14ac:dyDescent="0.2">
      <c r="A21" s="110" t="s">
        <v>316</v>
      </c>
      <c r="B21" s="56">
        <f>Block2!H10</f>
        <v>4.7619047619047619</v>
      </c>
    </row>
    <row r="22" spans="1:2" ht="15.75" customHeight="1" x14ac:dyDescent="0.2">
      <c r="A22" s="110" t="s">
        <v>317</v>
      </c>
      <c r="B22" s="56">
        <f>Block2!H11</f>
        <v>5</v>
      </c>
    </row>
    <row r="23" spans="1:2" ht="28.5" x14ac:dyDescent="0.2">
      <c r="A23" s="110" t="s">
        <v>318</v>
      </c>
      <c r="B23" s="56">
        <f>Block2!H12</f>
        <v>4.795918367346939</v>
      </c>
    </row>
    <row r="24" spans="1:2" ht="28.5" x14ac:dyDescent="0.2">
      <c r="A24" s="110" t="s">
        <v>123</v>
      </c>
      <c r="B24" s="56">
        <f>Block2!H13</f>
        <v>4.7435897435897436</v>
      </c>
    </row>
    <row r="25" spans="1:2" ht="28.5" x14ac:dyDescent="0.2">
      <c r="A25" s="110" t="s">
        <v>124</v>
      </c>
      <c r="B25" s="56">
        <f>Block2!H14</f>
        <v>4.7692307692307692</v>
      </c>
    </row>
    <row r="26" spans="1:2" ht="28.5" x14ac:dyDescent="0.2">
      <c r="A26" s="113" t="s">
        <v>319</v>
      </c>
      <c r="B26" s="56">
        <f>Block2!H15</f>
        <v>4.7777777777777777</v>
      </c>
    </row>
    <row r="27" spans="1:2" ht="28.5" x14ac:dyDescent="0.2">
      <c r="A27" s="110" t="s">
        <v>320</v>
      </c>
      <c r="B27" s="56">
        <f>Block2!H16</f>
        <v>3.3095238095238093</v>
      </c>
    </row>
    <row r="28" spans="1:2" ht="12.75" x14ac:dyDescent="0.2">
      <c r="A28" s="3"/>
    </row>
    <row r="29" spans="1:2" ht="28.5" x14ac:dyDescent="0.2">
      <c r="A29" s="110" t="s">
        <v>321</v>
      </c>
      <c r="B29" s="56">
        <f>Block2!H26</f>
        <v>4.7</v>
      </c>
    </row>
    <row r="30" spans="1:2" ht="14.25" x14ac:dyDescent="0.2">
      <c r="A30" s="110" t="s">
        <v>322</v>
      </c>
      <c r="B30" s="56">
        <f>Block2!H27</f>
        <v>4.66</v>
      </c>
    </row>
    <row r="31" spans="1:2" ht="14.25" x14ac:dyDescent="0.2">
      <c r="A31" s="110" t="s">
        <v>323</v>
      </c>
      <c r="B31" s="56">
        <f>Block2!H28</f>
        <v>4.82</v>
      </c>
    </row>
    <row r="32" spans="1:2" ht="14.25" x14ac:dyDescent="0.2">
      <c r="A32" s="110" t="s">
        <v>324</v>
      </c>
      <c r="B32" s="56">
        <f>Block2!H29</f>
        <v>4.54</v>
      </c>
    </row>
    <row r="34" spans="1:2" x14ac:dyDescent="0.25">
      <c r="A34" s="121" t="s">
        <v>139</v>
      </c>
      <c r="B34" s="112">
        <f>Block2!H36</f>
        <v>4.6938775510204085</v>
      </c>
    </row>
    <row r="35" spans="1:2" ht="28.5" x14ac:dyDescent="0.25">
      <c r="A35" s="110" t="s">
        <v>325</v>
      </c>
      <c r="B35" s="112">
        <f>Block2!H38</f>
        <v>4.6304347826086953</v>
      </c>
    </row>
    <row r="36" spans="1:2" ht="28.5" x14ac:dyDescent="0.25">
      <c r="A36" s="110" t="s">
        <v>326</v>
      </c>
      <c r="B36" s="112">
        <f>Block2!H39</f>
        <v>4.7346938775510203</v>
      </c>
    </row>
    <row r="37" spans="1:2" ht="15" x14ac:dyDescent="0.25">
      <c r="A37" s="110" t="s">
        <v>327</v>
      </c>
      <c r="B37" s="112">
        <f>Block2!H40</f>
        <v>4.7551020408163263</v>
      </c>
    </row>
    <row r="38" spans="1:2" ht="28.5" x14ac:dyDescent="0.25">
      <c r="A38" s="110" t="s">
        <v>328</v>
      </c>
      <c r="B38" s="112">
        <f>Block2!H41</f>
        <v>4.7551020408163263</v>
      </c>
    </row>
    <row r="39" spans="1:2" ht="28.5" x14ac:dyDescent="0.25">
      <c r="A39" s="110" t="s">
        <v>329</v>
      </c>
      <c r="B39" s="112">
        <f>Block2!H42</f>
        <v>4.8163265306122449</v>
      </c>
    </row>
    <row r="40" spans="1:2" ht="15" x14ac:dyDescent="0.25">
      <c r="A40" s="110" t="s">
        <v>152</v>
      </c>
      <c r="B40" s="112">
        <f>Block2!H44</f>
        <v>4.5357142857142856</v>
      </c>
    </row>
    <row r="43" spans="1:2" ht="15" x14ac:dyDescent="0.2">
      <c r="A43" s="50" t="s">
        <v>155</v>
      </c>
      <c r="B43" s="56">
        <f>Block2!H51</f>
        <v>4.4827586206896548</v>
      </c>
    </row>
    <row r="44" spans="1:2" ht="45" x14ac:dyDescent="0.2">
      <c r="A44" s="50" t="s">
        <v>156</v>
      </c>
      <c r="B44" s="56">
        <f>Block2!H52</f>
        <v>4.5333333333333332</v>
      </c>
    </row>
    <row r="45" spans="1:2" ht="28.5" x14ac:dyDescent="0.2">
      <c r="A45" s="110" t="s">
        <v>330</v>
      </c>
      <c r="B45" s="56">
        <f>Block2!H54</f>
        <v>4.7666666666666666</v>
      </c>
    </row>
    <row r="46" spans="1:2" ht="28.5" x14ac:dyDescent="0.2">
      <c r="A46" s="110" t="s">
        <v>331</v>
      </c>
      <c r="B46" s="56">
        <f>Block2!H55</f>
        <v>4.9333333333333336</v>
      </c>
    </row>
    <row r="47" spans="1:2" ht="28.5" x14ac:dyDescent="0.2">
      <c r="A47" s="110" t="s">
        <v>332</v>
      </c>
      <c r="B47" s="56">
        <f>Block2!H56</f>
        <v>4.8</v>
      </c>
    </row>
  </sheetData>
  <mergeCells count="15">
    <mergeCell ref="A14:E14"/>
    <mergeCell ref="A15:E15"/>
    <mergeCell ref="A9:E9"/>
    <mergeCell ref="A7:E7"/>
    <mergeCell ref="A6:E6"/>
    <mergeCell ref="A8:E8"/>
    <mergeCell ref="A10:E10"/>
    <mergeCell ref="A11:E11"/>
    <mergeCell ref="A12:E12"/>
    <mergeCell ref="A13:E13"/>
    <mergeCell ref="A1:E1"/>
    <mergeCell ref="A4:E4"/>
    <mergeCell ref="A2:E2"/>
    <mergeCell ref="A3:E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SORS_report</vt:lpstr>
      <vt:lpstr>recom</vt:lpstr>
      <vt:lpstr>Block1</vt:lpstr>
      <vt:lpstr>Block1_charts</vt:lpstr>
      <vt:lpstr>Block2</vt:lpstr>
      <vt:lpstr>Block2_charts</vt:lpstr>
      <vt:lpstr>Data</vt:lpstr>
      <vt:lpstr>Block3</vt:lpstr>
      <vt:lpstr>srv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Smoliar</dc:creator>
  <cp:lastModifiedBy>Smoliar</cp:lastModifiedBy>
  <cp:lastPrinted>2019-07-31T13:39:22Z</cp:lastPrinted>
  <dcterms:created xsi:type="dcterms:W3CDTF">2019-07-31T13:39:58Z</dcterms:created>
  <dcterms:modified xsi:type="dcterms:W3CDTF">2019-07-31T13:48:17Z</dcterms:modified>
</cp:coreProperties>
</file>